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firstSheet="2" activeTab="2"/>
  </bookViews>
  <sheets>
    <sheet name="Лист1" sheetId="1" state="hidden" r:id="rId1"/>
    <sheet name="Лист3" sheetId="3" state="hidden" r:id="rId2"/>
    <sheet name="Лист2" sheetId="4" r:id="rId3"/>
  </sheets>
  <calcPr calcId="125725"/>
</workbook>
</file>

<file path=xl/calcChain.xml><?xml version="1.0" encoding="utf-8"?>
<calcChain xmlns="http://schemas.openxmlformats.org/spreadsheetml/2006/main">
  <c r="AF31" i="4"/>
  <c r="AC25"/>
  <c r="S9"/>
  <c r="AB16"/>
  <c r="W25"/>
  <c r="G14"/>
  <c r="AF25"/>
  <c r="W21"/>
  <c r="AF21"/>
  <c r="AF16"/>
  <c r="AB32"/>
  <c r="F14"/>
  <c r="G15"/>
  <c r="AC15"/>
  <c r="AC13"/>
  <c r="AC14" s="1"/>
  <c r="AC12"/>
  <c r="AC11"/>
  <c r="S16"/>
  <c r="S13"/>
  <c r="S12"/>
  <c r="S11"/>
  <c r="G16"/>
  <c r="AE9"/>
  <c r="I44"/>
  <c r="I43"/>
  <c r="I42"/>
  <c r="I10"/>
  <c r="AE20"/>
  <c r="AE18"/>
  <c r="AE19" s="1"/>
  <c r="U20"/>
  <c r="U18"/>
  <c r="U19" s="1"/>
  <c r="AD10"/>
  <c r="T10"/>
  <c r="H10"/>
  <c r="AI44"/>
  <c r="AG16"/>
  <c r="R14"/>
  <c r="S14" s="1"/>
  <c r="G12"/>
  <c r="G11"/>
  <c r="AB10"/>
  <c r="AC10" s="1"/>
  <c r="R10"/>
  <c r="S10" s="1"/>
  <c r="I23" i="3"/>
  <c r="AH23"/>
  <c r="U23"/>
  <c r="U21"/>
  <c r="U25"/>
  <c r="U37"/>
  <c r="U38"/>
  <c r="U39"/>
  <c r="U40"/>
  <c r="U41"/>
  <c r="U42"/>
  <c r="U43"/>
  <c r="U44"/>
  <c r="AH25"/>
  <c r="AH21"/>
  <c r="AH17"/>
  <c r="AH13"/>
  <c r="AH11"/>
  <c r="AL35"/>
  <c r="G10"/>
  <c r="AJ10" s="1"/>
  <c r="I14"/>
  <c r="I13"/>
  <c r="I12"/>
  <c r="I15"/>
  <c r="I11"/>
  <c r="I10" s="1"/>
  <c r="I38"/>
  <c r="I37"/>
  <c r="AK16"/>
  <c r="AF32"/>
  <c r="AK43"/>
  <c r="S14"/>
  <c r="AF10" i="1"/>
  <c r="AF17"/>
  <c r="AF9" s="1"/>
  <c r="AF21"/>
  <c r="AF25"/>
  <c r="AM44" i="3"/>
  <c r="AF10"/>
  <c r="AH10" s="1"/>
  <c r="AH9" s="1"/>
  <c r="AJ31" s="1"/>
  <c r="S10"/>
  <c r="U31" i="1"/>
  <c r="U42" s="1"/>
  <c r="AD25"/>
  <c r="U25"/>
  <c r="S25"/>
  <c r="J25"/>
  <c r="H25"/>
  <c r="AD21"/>
  <c r="U21"/>
  <c r="S21"/>
  <c r="J21"/>
  <c r="H21"/>
  <c r="J18"/>
  <c r="AD17"/>
  <c r="U17"/>
  <c r="S17"/>
  <c r="J17"/>
  <c r="H17"/>
  <c r="U16"/>
  <c r="U15"/>
  <c r="U14"/>
  <c r="U13"/>
  <c r="U12"/>
  <c r="U11"/>
  <c r="AD10"/>
  <c r="U10"/>
  <c r="S10"/>
  <c r="J10"/>
  <c r="H10"/>
  <c r="AD9"/>
  <c r="AD31" s="1"/>
  <c r="U9"/>
  <c r="S9"/>
  <c r="S31" s="1"/>
  <c r="J9"/>
  <c r="J31" s="1"/>
  <c r="H9"/>
  <c r="H31" s="1"/>
  <c r="AF31" l="1"/>
  <c r="G10" i="4"/>
  <c r="F10"/>
  <c r="W10" s="1"/>
  <c r="AE49" s="1"/>
  <c r="U10" i="3"/>
  <c r="AK10"/>
  <c r="AK32" s="1"/>
  <c r="G18"/>
  <c r="I18" s="1"/>
  <c r="S18"/>
  <c r="AF18"/>
  <c r="AF17"/>
  <c r="Y10"/>
  <c r="AK17"/>
  <c r="J42" i="1"/>
  <c r="J39"/>
  <c r="J38"/>
  <c r="J41" s="1"/>
  <c r="J37"/>
  <c r="J40" s="1"/>
  <c r="AF42"/>
  <c r="AF41"/>
  <c r="AF44" s="1"/>
  <c r="AF39"/>
  <c r="AF37"/>
  <c r="AF40" s="1"/>
  <c r="AF43" s="1"/>
  <c r="L17"/>
  <c r="L21"/>
  <c r="L25"/>
  <c r="U37"/>
  <c r="U38"/>
  <c r="U39"/>
  <c r="U40"/>
  <c r="U43" s="1"/>
  <c r="U41"/>
  <c r="U44" s="1"/>
  <c r="AF10" i="4" l="1"/>
  <c r="AB17" s="1"/>
  <c r="AG10"/>
  <c r="AG32" s="1"/>
  <c r="V10"/>
  <c r="T17"/>
  <c r="T9" s="1"/>
  <c r="AD17"/>
  <c r="AD9" s="1"/>
  <c r="H17"/>
  <c r="R18"/>
  <c r="AG17"/>
  <c r="F17"/>
  <c r="AH16"/>
  <c r="AF19" i="3"/>
  <c r="S19"/>
  <c r="G19"/>
  <c r="I19" s="1"/>
  <c r="S17"/>
  <c r="G17"/>
  <c r="AM16"/>
  <c r="AL16"/>
  <c r="L14" i="1"/>
  <c r="L13"/>
  <c r="L11"/>
  <c r="W18" i="4" l="1"/>
  <c r="I17"/>
  <c r="I9" s="1"/>
  <c r="AB18"/>
  <c r="AB19" s="1"/>
  <c r="AB20" s="1"/>
  <c r="AC20" s="1"/>
  <c r="AI16"/>
  <c r="R17"/>
  <c r="V17" s="1"/>
  <c r="F18"/>
  <c r="F19" s="1"/>
  <c r="AC18"/>
  <c r="R19"/>
  <c r="S18"/>
  <c r="H9"/>
  <c r="U17"/>
  <c r="U9" s="1"/>
  <c r="F9"/>
  <c r="AB9"/>
  <c r="Y17" i="3"/>
  <c r="G9"/>
  <c r="G20"/>
  <c r="I17" s="1"/>
  <c r="I9" s="1"/>
  <c r="S9"/>
  <c r="U9" s="1"/>
  <c r="S20"/>
  <c r="AF9"/>
  <c r="AF20"/>
  <c r="AJ9" l="1"/>
  <c r="R9" i="4"/>
  <c r="AG9" s="1"/>
  <c r="R20"/>
  <c r="S20" s="1"/>
  <c r="G18"/>
  <c r="G19" s="1"/>
  <c r="S19"/>
  <c r="S17" s="1"/>
  <c r="AC19"/>
  <c r="AC17" s="1"/>
  <c r="AC9" s="1"/>
  <c r="W9"/>
  <c r="AF9"/>
  <c r="F20"/>
  <c r="G20" s="1"/>
  <c r="AK9" i="3"/>
  <c r="Y9"/>
  <c r="V9" i="4" l="1"/>
  <c r="G17"/>
  <c r="G9" s="1"/>
  <c r="R26"/>
  <c r="S26" s="1"/>
  <c r="R25"/>
  <c r="AB26"/>
  <c r="AC26" s="1"/>
  <c r="AB22"/>
  <c r="AC22" s="1"/>
  <c r="AC23" s="1"/>
  <c r="AD25"/>
  <c r="H25"/>
  <c r="T21"/>
  <c r="U21" s="1"/>
  <c r="AD21"/>
  <c r="AE21" s="1"/>
  <c r="H21"/>
  <c r="F26"/>
  <c r="AB25"/>
  <c r="AG25" s="1"/>
  <c r="F25"/>
  <c r="R22"/>
  <c r="F22"/>
  <c r="AG21"/>
  <c r="AB21"/>
  <c r="R21"/>
  <c r="R31" s="1"/>
  <c r="F21"/>
  <c r="F31" s="1"/>
  <c r="S22" i="3"/>
  <c r="AF22"/>
  <c r="G22"/>
  <c r="AK21"/>
  <c r="G26"/>
  <c r="S26"/>
  <c r="AF26"/>
  <c r="AF27"/>
  <c r="S27"/>
  <c r="AF23"/>
  <c r="S23"/>
  <c r="G23"/>
  <c r="AF25"/>
  <c r="AK25" s="1"/>
  <c r="G21"/>
  <c r="S21"/>
  <c r="AF21"/>
  <c r="AJ33" s="1"/>
  <c r="G25"/>
  <c r="AJ35" s="1"/>
  <c r="S25"/>
  <c r="F27" i="4" l="1"/>
  <c r="G26"/>
  <c r="R27"/>
  <c r="W22"/>
  <c r="AB27"/>
  <c r="R28"/>
  <c r="R23"/>
  <c r="R24" s="1"/>
  <c r="S24" s="1"/>
  <c r="S22"/>
  <c r="G27"/>
  <c r="F23"/>
  <c r="F24" s="1"/>
  <c r="G24" s="1"/>
  <c r="G22"/>
  <c r="AC27"/>
  <c r="S27"/>
  <c r="AB23"/>
  <c r="AB24" s="1"/>
  <c r="AC24" s="1"/>
  <c r="I21"/>
  <c r="I25"/>
  <c r="AD31"/>
  <c r="AE25"/>
  <c r="AE31" s="1"/>
  <c r="V21"/>
  <c r="AF33"/>
  <c r="AG31"/>
  <c r="AB31"/>
  <c r="AC31" s="1"/>
  <c r="AF35"/>
  <c r="F28"/>
  <c r="G28" s="1"/>
  <c r="V25"/>
  <c r="AB28"/>
  <c r="AC28" s="1"/>
  <c r="AF34"/>
  <c r="AJ34" i="3"/>
  <c r="Y21"/>
  <c r="G31"/>
  <c r="L31"/>
  <c r="Y25"/>
  <c r="S31"/>
  <c r="AF31"/>
  <c r="AH31" s="1"/>
  <c r="AK31"/>
  <c r="G28"/>
  <c r="I28" s="1"/>
  <c r="I25" s="1"/>
  <c r="AN25"/>
  <c r="S24"/>
  <c r="G24"/>
  <c r="I24" s="1"/>
  <c r="I21" s="1"/>
  <c r="L30" s="1"/>
  <c r="AF28"/>
  <c r="AC37" i="4" l="1"/>
  <c r="AC40" s="1"/>
  <c r="G25"/>
  <c r="S25"/>
  <c r="T31"/>
  <c r="T42" s="1"/>
  <c r="U42" s="1"/>
  <c r="G23"/>
  <c r="G21" s="1"/>
  <c r="S23"/>
  <c r="S21" s="1"/>
  <c r="AC41"/>
  <c r="G31"/>
  <c r="I50"/>
  <c r="H31"/>
  <c r="W31"/>
  <c r="AF13"/>
  <c r="AG33"/>
  <c r="AG34" s="1"/>
  <c r="AH31"/>
  <c r="V31"/>
  <c r="V32"/>
  <c r="Y31" i="3"/>
  <c r="Y32"/>
  <c r="AK33"/>
  <c r="AK34" s="1"/>
  <c r="AL31"/>
  <c r="AH37"/>
  <c r="AJ13"/>
  <c r="W32" i="4" l="1"/>
  <c r="G29"/>
  <c r="I31"/>
  <c r="I39" s="1"/>
  <c r="T44"/>
  <c r="S38"/>
  <c r="S36"/>
  <c r="S39" s="1"/>
  <c r="S42" s="1"/>
  <c r="S46" s="1"/>
  <c r="S41"/>
  <c r="W44" s="1"/>
  <c r="T43"/>
  <c r="S37"/>
  <c r="S40" s="1"/>
  <c r="G38"/>
  <c r="G41" s="1"/>
  <c r="G40"/>
  <c r="G39"/>
  <c r="AH35"/>
  <c r="AC44"/>
  <c r="AJ44" s="1"/>
  <c r="AC36"/>
  <c r="AC39" s="1"/>
  <c r="AC43"/>
  <c r="Y42" i="3"/>
  <c r="AH42"/>
  <c r="AK42" s="1"/>
  <c r="AH39"/>
  <c r="AL33" s="1"/>
  <c r="AH40"/>
  <c r="I43"/>
  <c r="I42"/>
  <c r="L42" s="1"/>
  <c r="I39"/>
  <c r="L33" s="1"/>
  <c r="I37" i="4" l="1"/>
  <c r="I38"/>
  <c r="I41" s="1"/>
  <c r="G42"/>
  <c r="W43"/>
  <c r="W42"/>
  <c r="AH33"/>
  <c r="AC42"/>
  <c r="AH34"/>
  <c r="AH43" i="3"/>
  <c r="AL34"/>
  <c r="AL36" s="1"/>
  <c r="Y46"/>
  <c r="K14"/>
  <c r="K13"/>
  <c r="K11"/>
  <c r="K17"/>
  <c r="K21"/>
  <c r="K25"/>
  <c r="I40"/>
  <c r="L34" s="1"/>
  <c r="I41"/>
  <c r="AH36" i="4" l="1"/>
  <c r="G46"/>
  <c r="AJ42"/>
  <c r="AC46"/>
  <c r="AI42"/>
  <c r="W45"/>
  <c r="AJ43"/>
  <c r="P49" i="3"/>
  <c r="I44"/>
  <c r="L35"/>
  <c r="L36" s="1"/>
  <c r="AC21" i="4"/>
  <c r="AJ45" l="1"/>
</calcChain>
</file>

<file path=xl/sharedStrings.xml><?xml version="1.0" encoding="utf-8"?>
<sst xmlns="http://schemas.openxmlformats.org/spreadsheetml/2006/main" count="411" uniqueCount="60">
  <si>
    <t xml:space="preserve">Розрахунок тарифів на послуги </t>
  </si>
  <si>
    <t>централізованого водовідведення  по</t>
  </si>
  <si>
    <t>централізованого водопостачання  по</t>
  </si>
  <si>
    <t>вивіз рідких побутових відходів (нечистот)</t>
  </si>
  <si>
    <t xml:space="preserve"> КП "Водоканал виконавчого комітету Лебединської міської ради"</t>
  </si>
  <si>
    <t>по  КП "Водоканал виконавчого комітету Лебединської міської ради"</t>
  </si>
  <si>
    <t>Показник</t>
  </si>
  <si>
    <t>Планові витрати</t>
  </si>
  <si>
    <t>Всього</t>
  </si>
  <si>
    <r>
      <t>на 1м</t>
    </r>
    <r>
      <rPr>
        <vertAlign val="superscript"/>
        <sz val="14"/>
        <color theme="1"/>
        <rFont val="Times New Roman"/>
        <family val="1"/>
        <charset val="204"/>
      </rPr>
      <t>3</t>
    </r>
  </si>
  <si>
    <t>Виробнича собівартість послуг</t>
  </si>
  <si>
    <t>Прямі витрати всього: в т. ч.</t>
  </si>
  <si>
    <t>Електроенергія</t>
  </si>
  <si>
    <t>Інші прямі матеріальні витрати</t>
  </si>
  <si>
    <t>Витрати на оплату праці</t>
  </si>
  <si>
    <r>
      <t>Єдиний внесок на загальнообов'язкове соціальне страхування</t>
    </r>
    <r>
      <rPr>
        <sz val="17.75"/>
        <color theme="1"/>
        <rFont val="Times New Roman"/>
        <family val="1"/>
        <charset val="204"/>
      </rPr>
      <t xml:space="preserve"> </t>
    </r>
  </si>
  <si>
    <t>Амортизація</t>
  </si>
  <si>
    <t>Інші прямі витрати</t>
  </si>
  <si>
    <t>Загально-виробничі витрати</t>
  </si>
  <si>
    <t>Інші  витрати</t>
  </si>
  <si>
    <t>Адміністративні витрати</t>
  </si>
  <si>
    <t>Витрати на збут</t>
  </si>
  <si>
    <t>Інші операційні витрати</t>
  </si>
  <si>
    <t>Фінансові витрати</t>
  </si>
  <si>
    <t xml:space="preserve">Повна собівартість послуг </t>
  </si>
  <si>
    <r>
      <t>Обсяг вироблених послуг тис. м</t>
    </r>
    <r>
      <rPr>
        <strike/>
        <vertAlign val="superscript"/>
        <sz val="12"/>
        <color theme="1"/>
        <rFont val="Times New Roman"/>
        <family val="1"/>
        <charset val="204"/>
      </rPr>
      <t>3</t>
    </r>
  </si>
  <si>
    <r>
      <t>Населення  тис.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</si>
  <si>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Бюджетні установи  тис. м3</t>
  </si>
  <si>
    <r>
      <t>Інші споживачі тис.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</si>
  <si>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Рентабельність населення 0%</t>
  </si>
  <si>
    <t>Рентабельність бюджет 15%</t>
  </si>
  <si>
    <t>Рентабельність інші 50%</t>
  </si>
  <si>
    <t>Рентабельність інші 40%</t>
  </si>
  <si>
    <t>Тариф без ПДВ населення</t>
  </si>
  <si>
    <t>Тариф без ПДВ бюджет</t>
  </si>
  <si>
    <t>Тариф без ПДВ інші</t>
  </si>
  <si>
    <t>Тариф з ПДВ населення</t>
  </si>
  <si>
    <t>Тариф з ПДВ бюджет</t>
  </si>
  <si>
    <t>Тариф з ПДВ інші</t>
  </si>
  <si>
    <t>Директор                                           М. І. Литовченко</t>
  </si>
  <si>
    <t>вода</t>
  </si>
  <si>
    <t>РПВ</t>
  </si>
  <si>
    <t>з/а</t>
  </si>
  <si>
    <t>Директор                                    М. І. Литовченко</t>
  </si>
  <si>
    <t xml:space="preserve">  КП "Водоканал виконавчого комітету Лебединської міської ради"</t>
  </si>
  <si>
    <t xml:space="preserve">централізованого водопостачання  по  </t>
  </si>
  <si>
    <t>КП "Водоканал виконавчого комітету Лебединської міської ради"</t>
  </si>
  <si>
    <t xml:space="preserve">           централізованого водовідведення по</t>
  </si>
  <si>
    <t>Директор                                     М. І. Литовченко</t>
  </si>
  <si>
    <t>Директор                                  М. І. Литовченко</t>
  </si>
  <si>
    <r>
      <t>Єдиний внесок на загальнооб-'язкове соціальне страхування</t>
    </r>
    <r>
      <rPr>
        <sz val="17.75"/>
        <color theme="1"/>
        <rFont val="Times New Roman"/>
        <family val="1"/>
        <charset val="204"/>
      </rPr>
      <t xml:space="preserve"> </t>
    </r>
  </si>
  <si>
    <r>
      <t>Єдиний внесок на загальнообо-в'язкове соціальне страхування</t>
    </r>
    <r>
      <rPr>
        <sz val="17.75"/>
        <color theme="1"/>
        <rFont val="Times New Roman"/>
        <family val="1"/>
        <charset val="204"/>
      </rPr>
      <t xml:space="preserve"> </t>
    </r>
  </si>
  <si>
    <r>
      <t>Єдиний внесок на загальнооб-в'язкове соціальне страхування</t>
    </r>
    <r>
      <rPr>
        <sz val="17.75"/>
        <color theme="1"/>
        <rFont val="Times New Roman"/>
        <family val="1"/>
        <charset val="204"/>
      </rPr>
      <t xml:space="preserve"> </t>
    </r>
  </si>
  <si>
    <r>
      <t>Єдиний внесок на загальнооб-ов'язкове соціальне страхування</t>
    </r>
    <r>
      <rPr>
        <sz val="17.75"/>
        <color theme="1"/>
        <rFont val="Times New Roman"/>
        <family val="1"/>
        <charset val="204"/>
      </rPr>
      <t xml:space="preserve"> </t>
    </r>
  </si>
  <si>
    <t>Проіндексовані планові витрати</t>
  </si>
  <si>
    <t>Рентабельність населення5,0%</t>
  </si>
  <si>
    <t>Рентабельність населення 5,0%</t>
  </si>
  <si>
    <t xml:space="preserve">  КП "Водоканал виконавчого комітету  Лебединської міської ради"</t>
  </si>
  <si>
    <t xml:space="preserve">           централізованого водопостачання по</t>
  </si>
  <si>
    <t>Рентабельність інші  до 50%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</si>
</sst>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7.75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trike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i/>
      <sz val="12"/>
      <color theme="0" tint="-0.499984740745262"/>
      <name val="Times New Roman"/>
      <family val="1"/>
      <charset val="204"/>
    </font>
    <font>
      <i/>
      <u/>
      <sz val="11"/>
      <color theme="1"/>
      <name val="Calibri"/>
      <family val="2"/>
      <charset val="204"/>
      <scheme val="minor"/>
    </font>
    <font>
      <i/>
      <u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i/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i/>
      <sz val="14"/>
      <color theme="0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  <font>
      <b/>
      <u/>
      <sz val="14"/>
      <color theme="0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i/>
      <u/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0" fontId="3" fillId="0" borderId="0" xfId="0" applyFont="1"/>
    <xf numFmtId="164" fontId="3" fillId="0" borderId="0" xfId="0" applyNumberFormat="1" applyFont="1"/>
    <xf numFmtId="165" fontId="3" fillId="0" borderId="0" xfId="0" applyNumberFormat="1" applyFont="1"/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64" fontId="0" fillId="0" borderId="0" xfId="0" applyNumberFormat="1"/>
    <xf numFmtId="16" fontId="0" fillId="0" borderId="0" xfId="0" applyNumberFormat="1"/>
    <xf numFmtId="164" fontId="0" fillId="0" borderId="0" xfId="0" applyNumberFormat="1" applyAlignment="1">
      <alignment horizontal="left"/>
    </xf>
    <xf numFmtId="166" fontId="0" fillId="0" borderId="0" xfId="0" applyNumberFormat="1"/>
    <xf numFmtId="2" fontId="0" fillId="0" borderId="0" xfId="0" applyNumberFormat="1"/>
    <xf numFmtId="2" fontId="3" fillId="0" borderId="0" xfId="0" applyNumberFormat="1" applyFont="1"/>
    <xf numFmtId="165" fontId="2" fillId="0" borderId="0" xfId="0" applyNumberFormat="1" applyFont="1"/>
    <xf numFmtId="165" fontId="0" fillId="0" borderId="0" xfId="0" applyNumberFormat="1"/>
    <xf numFmtId="164" fontId="0" fillId="3" borderId="0" xfId="0" applyNumberFormat="1" applyFill="1"/>
    <xf numFmtId="2" fontId="14" fillId="3" borderId="0" xfId="0" applyNumberFormat="1" applyFont="1" applyFill="1"/>
    <xf numFmtId="0" fontId="14" fillId="3" borderId="0" xfId="0" applyFont="1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164" fontId="15" fillId="2" borderId="0" xfId="0" applyNumberFormat="1" applyFont="1" applyFill="1"/>
    <xf numFmtId="0" fontId="14" fillId="2" borderId="0" xfId="0" applyFont="1" applyFill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165" fontId="3" fillId="0" borderId="2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2" fillId="0" borderId="0" xfId="0" applyFont="1"/>
    <xf numFmtId="2" fontId="6" fillId="0" borderId="14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2" fontId="1" fillId="0" borderId="0" xfId="0" applyNumberFormat="1" applyFont="1"/>
    <xf numFmtId="2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15" fillId="2" borderId="21" xfId="0" applyNumberFormat="1" applyFont="1" applyFill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" fillId="0" borderId="0" xfId="0" applyFont="1"/>
    <xf numFmtId="164" fontId="3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164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164" fontId="3" fillId="0" borderId="0" xfId="0" applyNumberFormat="1" applyFont="1"/>
    <xf numFmtId="0" fontId="0" fillId="0" borderId="0" xfId="0"/>
    <xf numFmtId="164" fontId="20" fillId="0" borderId="24" xfId="0" applyNumberFormat="1" applyFont="1" applyFill="1" applyBorder="1" applyAlignment="1">
      <alignment horizontal="center"/>
    </xf>
    <xf numFmtId="2" fontId="20" fillId="0" borderId="25" xfId="0" applyNumberFormat="1" applyFont="1" applyFill="1" applyBorder="1" applyAlignment="1">
      <alignment horizontal="center"/>
    </xf>
    <xf numFmtId="164" fontId="21" fillId="0" borderId="14" xfId="0" applyNumberFormat="1" applyFont="1" applyFill="1" applyBorder="1" applyAlignment="1">
      <alignment horizontal="center"/>
    </xf>
    <xf numFmtId="2" fontId="21" fillId="0" borderId="21" xfId="0" applyNumberFormat="1" applyFont="1" applyFill="1" applyBorder="1" applyAlignment="1">
      <alignment horizontal="center"/>
    </xf>
    <xf numFmtId="164" fontId="22" fillId="0" borderId="14" xfId="0" applyNumberFormat="1" applyFont="1" applyFill="1" applyBorder="1" applyAlignment="1">
      <alignment horizontal="center"/>
    </xf>
    <xf numFmtId="2" fontId="22" fillId="0" borderId="21" xfId="0" applyNumberFormat="1" applyFont="1" applyFill="1" applyBorder="1" applyAlignment="1">
      <alignment horizontal="center"/>
    </xf>
    <xf numFmtId="2" fontId="22" fillId="0" borderId="14" xfId="0" applyNumberFormat="1" applyFont="1" applyFill="1" applyBorder="1" applyAlignment="1">
      <alignment horizontal="center"/>
    </xf>
    <xf numFmtId="2" fontId="21" fillId="0" borderId="14" xfId="0" applyNumberFormat="1" applyFont="1" applyFill="1" applyBorder="1" applyAlignment="1">
      <alignment horizontal="center"/>
    </xf>
    <xf numFmtId="2" fontId="21" fillId="0" borderId="16" xfId="0" applyNumberFormat="1" applyFont="1" applyFill="1" applyBorder="1" applyAlignment="1">
      <alignment horizontal="center"/>
    </xf>
    <xf numFmtId="2" fontId="21" fillId="0" borderId="18" xfId="0" applyNumberFormat="1" applyFont="1" applyFill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2" fillId="0" borderId="0" xfId="0" applyFont="1"/>
    <xf numFmtId="164" fontId="3" fillId="0" borderId="11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6" fillId="2" borderId="11" xfId="0" applyNumberFormat="1" applyFont="1" applyFill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13" fillId="0" borderId="11" xfId="0" applyNumberFormat="1" applyFont="1" applyBorder="1" applyAlignment="1">
      <alignment horizontal="center"/>
    </xf>
    <xf numFmtId="164" fontId="20" fillId="0" borderId="24" xfId="0" applyNumberFormat="1" applyFont="1" applyBorder="1" applyAlignment="1">
      <alignment horizontal="center"/>
    </xf>
    <xf numFmtId="2" fontId="20" fillId="0" borderId="25" xfId="0" applyNumberFormat="1" applyFont="1" applyBorder="1" applyAlignment="1">
      <alignment horizontal="center"/>
    </xf>
    <xf numFmtId="164" fontId="21" fillId="0" borderId="14" xfId="0" applyNumberFormat="1" applyFont="1" applyBorder="1" applyAlignment="1">
      <alignment horizontal="center"/>
    </xf>
    <xf numFmtId="2" fontId="21" fillId="0" borderId="21" xfId="0" applyNumberFormat="1" applyFont="1" applyBorder="1" applyAlignment="1">
      <alignment horizontal="center"/>
    </xf>
    <xf numFmtId="164" fontId="22" fillId="0" borderId="14" xfId="0" applyNumberFormat="1" applyFont="1" applyBorder="1" applyAlignment="1">
      <alignment horizontal="center"/>
    </xf>
    <xf numFmtId="2" fontId="22" fillId="0" borderId="21" xfId="0" applyNumberFormat="1" applyFont="1" applyBorder="1" applyAlignment="1">
      <alignment horizontal="center"/>
    </xf>
    <xf numFmtId="2" fontId="20" fillId="0" borderId="24" xfId="0" applyNumberFormat="1" applyFont="1" applyBorder="1" applyAlignment="1">
      <alignment horizontal="center"/>
    </xf>
    <xf numFmtId="2" fontId="21" fillId="0" borderId="14" xfId="0" applyNumberFormat="1" applyFont="1" applyBorder="1" applyAlignment="1">
      <alignment horizontal="center"/>
    </xf>
    <xf numFmtId="2" fontId="22" fillId="0" borderId="14" xfId="0" applyNumberFormat="1" applyFont="1" applyBorder="1" applyAlignment="1">
      <alignment horizontal="center"/>
    </xf>
    <xf numFmtId="165" fontId="22" fillId="0" borderId="14" xfId="0" applyNumberFormat="1" applyFont="1" applyBorder="1" applyAlignment="1">
      <alignment horizontal="center"/>
    </xf>
    <xf numFmtId="165" fontId="22" fillId="0" borderId="21" xfId="0" applyNumberFormat="1" applyFont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66" fontId="3" fillId="0" borderId="21" xfId="0" applyNumberFormat="1" applyFont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2" fontId="3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2" fontId="4" fillId="0" borderId="21" xfId="0" applyNumberFormat="1" applyFont="1" applyBorder="1" applyAlignment="1">
      <alignment horizontal="center"/>
    </xf>
    <xf numFmtId="2" fontId="2" fillId="0" borderId="0" xfId="0" applyNumberFormat="1" applyFont="1"/>
    <xf numFmtId="2" fontId="13" fillId="0" borderId="11" xfId="0" applyNumberFormat="1" applyFont="1" applyBorder="1" applyAlignment="1">
      <alignment horizontal="center"/>
    </xf>
    <xf numFmtId="2" fontId="6" fillId="2" borderId="18" xfId="0" applyNumberFormat="1" applyFont="1" applyFill="1" applyBorder="1" applyAlignment="1">
      <alignment horizontal="center"/>
    </xf>
    <xf numFmtId="0" fontId="23" fillId="0" borderId="0" xfId="0" applyFont="1"/>
    <xf numFmtId="164" fontId="24" fillId="0" borderId="0" xfId="0" applyNumberFormat="1" applyFont="1"/>
    <xf numFmtId="164" fontId="25" fillId="0" borderId="0" xfId="0" applyNumberFormat="1" applyFont="1"/>
    <xf numFmtId="164" fontId="23" fillId="0" borderId="0" xfId="0" applyNumberFormat="1" applyFont="1"/>
    <xf numFmtId="164" fontId="26" fillId="0" borderId="0" xfId="0" applyNumberFormat="1" applyFont="1"/>
    <xf numFmtId="2" fontId="25" fillId="0" borderId="0" xfId="0" applyNumberFormat="1" applyFont="1"/>
    <xf numFmtId="0" fontId="25" fillId="0" borderId="0" xfId="0" applyFont="1"/>
    <xf numFmtId="2" fontId="26" fillId="0" borderId="0" xfId="0" applyNumberFormat="1" applyFont="1"/>
    <xf numFmtId="0" fontId="26" fillId="0" borderId="0" xfId="0" applyFont="1"/>
    <xf numFmtId="166" fontId="23" fillId="0" borderId="0" xfId="0" applyNumberFormat="1" applyFont="1"/>
    <xf numFmtId="2" fontId="23" fillId="0" borderId="0" xfId="0" applyNumberFormat="1" applyFont="1" applyAlignment="1">
      <alignment horizontal="center"/>
    </xf>
    <xf numFmtId="165" fontId="23" fillId="0" borderId="0" xfId="0" applyNumberFormat="1" applyFont="1"/>
    <xf numFmtId="0" fontId="22" fillId="0" borderId="0" xfId="0" applyFont="1"/>
    <xf numFmtId="164" fontId="22" fillId="0" borderId="0" xfId="0" applyNumberFormat="1" applyFont="1"/>
    <xf numFmtId="165" fontId="22" fillId="0" borderId="0" xfId="0" applyNumberFormat="1" applyFont="1"/>
    <xf numFmtId="166" fontId="22" fillId="0" borderId="0" xfId="0" applyNumberFormat="1" applyFont="1"/>
    <xf numFmtId="166" fontId="22" fillId="0" borderId="0" xfId="0" applyNumberFormat="1" applyFont="1" applyAlignment="1">
      <alignment horizontal="center"/>
    </xf>
    <xf numFmtId="2" fontId="22" fillId="0" borderId="0" xfId="0" applyNumberFormat="1" applyFont="1"/>
    <xf numFmtId="2" fontId="23" fillId="0" borderId="0" xfId="0" applyNumberFormat="1" applyFont="1"/>
    <xf numFmtId="0" fontId="27" fillId="0" borderId="0" xfId="0" applyFont="1"/>
    <xf numFmtId="0" fontId="21" fillId="0" borderId="0" xfId="0" applyFont="1" applyAlignment="1">
      <alignment horizontal="left" wrapText="1"/>
    </xf>
    <xf numFmtId="0" fontId="23" fillId="0" borderId="0" xfId="0" applyFont="1" applyAlignment="1">
      <alignment wrapText="1"/>
    </xf>
    <xf numFmtId="0" fontId="23" fillId="2" borderId="0" xfId="0" applyFont="1" applyFill="1"/>
    <xf numFmtId="16" fontId="23" fillId="0" borderId="0" xfId="0" applyNumberFormat="1" applyFont="1"/>
    <xf numFmtId="164" fontId="23" fillId="0" borderId="0" xfId="0" applyNumberFormat="1" applyFont="1" applyAlignment="1">
      <alignment horizontal="left"/>
    </xf>
    <xf numFmtId="0" fontId="29" fillId="0" borderId="0" xfId="0" applyFont="1"/>
    <xf numFmtId="164" fontId="23" fillId="2" borderId="0" xfId="0" applyNumberFormat="1" applyFont="1" applyFill="1"/>
    <xf numFmtId="2" fontId="3" fillId="0" borderId="11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2" fillId="0" borderId="0" xfId="0" applyFont="1"/>
    <xf numFmtId="164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164" fontId="3" fillId="0" borderId="17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14" xfId="0" applyFont="1" applyBorder="1"/>
    <xf numFmtId="0" fontId="6" fillId="0" borderId="15" xfId="0" applyFont="1" applyBorder="1"/>
    <xf numFmtId="164" fontId="10" fillId="0" borderId="11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164" fontId="6" fillId="2" borderId="11" xfId="0" applyNumberFormat="1" applyFont="1" applyFill="1" applyBorder="1" applyAlignment="1">
      <alignment horizontal="center"/>
    </xf>
    <xf numFmtId="164" fontId="6" fillId="2" borderId="12" xfId="0" applyNumberFormat="1" applyFont="1" applyFill="1" applyBorder="1" applyAlignment="1">
      <alignment horizontal="center"/>
    </xf>
    <xf numFmtId="0" fontId="7" fillId="0" borderId="14" xfId="0" applyFont="1" applyBorder="1"/>
    <xf numFmtId="0" fontId="7" fillId="0" borderId="15" xfId="0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6" fontId="3" fillId="0" borderId="11" xfId="0" applyNumberFormat="1" applyFont="1" applyBorder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2" fontId="3" fillId="0" borderId="14" xfId="0" applyNumberFormat="1" applyFont="1" applyBorder="1"/>
    <xf numFmtId="2" fontId="3" fillId="0" borderId="15" xfId="0" applyNumberFormat="1" applyFont="1" applyBorder="1"/>
    <xf numFmtId="2" fontId="3" fillId="0" borderId="12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3" fillId="0" borderId="0" xfId="0" applyFont="1" applyBorder="1"/>
    <xf numFmtId="2" fontId="22" fillId="0" borderId="11" xfId="0" applyNumberFormat="1" applyFont="1" applyBorder="1" applyAlignment="1">
      <alignment horizontal="center"/>
    </xf>
    <xf numFmtId="0" fontId="22" fillId="0" borderId="0" xfId="0" applyFont="1" applyBorder="1"/>
    <xf numFmtId="2" fontId="22" fillId="0" borderId="0" xfId="0" applyNumberFormat="1" applyFont="1" applyBorder="1" applyAlignment="1"/>
    <xf numFmtId="164" fontId="23" fillId="0" borderId="0" xfId="0" applyNumberFormat="1" applyFont="1" applyBorder="1" applyAlignment="1"/>
    <xf numFmtId="0" fontId="23" fillId="0" borderId="0" xfId="0" applyFont="1" applyBorder="1" applyAlignment="1"/>
    <xf numFmtId="0" fontId="22" fillId="0" borderId="0" xfId="0" applyFont="1" applyBorder="1" applyAlignment="1"/>
    <xf numFmtId="164" fontId="23" fillId="2" borderId="0" xfId="0" applyNumberFormat="1" applyFont="1" applyFill="1" applyBorder="1" applyAlignment="1"/>
    <xf numFmtId="0" fontId="23" fillId="2" borderId="0" xfId="0" applyFont="1" applyFill="1" applyBorder="1" applyAlignment="1"/>
    <xf numFmtId="164" fontId="22" fillId="0" borderId="0" xfId="0" applyNumberFormat="1" applyFont="1" applyBorder="1" applyAlignment="1"/>
    <xf numFmtId="2" fontId="28" fillId="2" borderId="0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50"/>
  <sheetViews>
    <sheetView topLeftCell="I16" workbookViewId="0">
      <selection activeCell="X4" sqref="X4:AH4"/>
    </sheetView>
  </sheetViews>
  <sheetFormatPr defaultRowHeight="15"/>
  <cols>
    <col min="1" max="1" width="0" hidden="1" customWidth="1"/>
    <col min="7" max="7" width="6" customWidth="1"/>
    <col min="8" max="8" width="0" hidden="1" customWidth="1"/>
    <col min="9" max="9" width="9.28515625" customWidth="1"/>
    <col min="10" max="10" width="0" hidden="1" customWidth="1"/>
    <col min="13" max="13" width="0" hidden="1" customWidth="1"/>
    <col min="18" max="18" width="6.28515625" customWidth="1"/>
    <col min="20" max="20" width="5.7109375" customWidth="1"/>
    <col min="22" max="22" width="4.7109375" customWidth="1"/>
    <col min="24" max="24" width="0" hidden="1" customWidth="1"/>
  </cols>
  <sheetData>
    <row r="1" spans="2:34">
      <c r="C1" s="1"/>
      <c r="D1" s="1"/>
      <c r="E1" s="1"/>
      <c r="F1" s="1"/>
      <c r="G1" s="1"/>
      <c r="H1" s="2"/>
      <c r="I1" s="2"/>
      <c r="J1" s="1"/>
      <c r="K1" s="1"/>
      <c r="L1" s="3"/>
      <c r="N1" s="1"/>
      <c r="O1" s="1"/>
      <c r="P1" s="1"/>
      <c r="Q1" s="1"/>
      <c r="R1" s="1"/>
      <c r="S1" s="2"/>
      <c r="T1" s="2"/>
      <c r="U1" s="1"/>
      <c r="V1" s="1"/>
      <c r="W1" s="1"/>
      <c r="Y1" s="1"/>
      <c r="Z1" s="1"/>
      <c r="AA1" s="1"/>
      <c r="AB1" s="1"/>
      <c r="AC1" s="1"/>
      <c r="AD1" s="2"/>
      <c r="AE1" s="2"/>
      <c r="AF1" s="1"/>
      <c r="AG1" s="1"/>
      <c r="AH1" s="1"/>
    </row>
    <row r="2" spans="2:34" ht="18.75">
      <c r="C2" s="1"/>
      <c r="D2" s="208" t="s">
        <v>0</v>
      </c>
      <c r="E2" s="208"/>
      <c r="F2" s="208"/>
      <c r="G2" s="208"/>
      <c r="H2" s="208"/>
      <c r="I2" s="208"/>
      <c r="J2" s="208"/>
      <c r="K2" s="208"/>
      <c r="L2" s="3"/>
      <c r="N2" s="1"/>
      <c r="O2" s="208" t="s">
        <v>0</v>
      </c>
      <c r="P2" s="208"/>
      <c r="Q2" s="208"/>
      <c r="R2" s="208"/>
      <c r="S2" s="208"/>
      <c r="T2" s="208"/>
      <c r="U2" s="208"/>
      <c r="V2" s="208"/>
      <c r="W2" s="1"/>
      <c r="Y2" s="1"/>
      <c r="Z2" s="208" t="s">
        <v>0</v>
      </c>
      <c r="AA2" s="208"/>
      <c r="AB2" s="208"/>
      <c r="AC2" s="208"/>
      <c r="AD2" s="208"/>
      <c r="AE2" s="208"/>
      <c r="AF2" s="208"/>
      <c r="AG2" s="208"/>
      <c r="AH2" s="1"/>
    </row>
    <row r="3" spans="2:34" ht="18.75">
      <c r="C3" s="1"/>
      <c r="D3" s="208" t="s">
        <v>1</v>
      </c>
      <c r="E3" s="208"/>
      <c r="F3" s="208"/>
      <c r="G3" s="208"/>
      <c r="H3" s="208"/>
      <c r="I3" s="208"/>
      <c r="J3" s="208"/>
      <c r="K3" s="208"/>
      <c r="L3" s="3"/>
      <c r="N3" s="1"/>
      <c r="O3" s="208" t="s">
        <v>2</v>
      </c>
      <c r="P3" s="208"/>
      <c r="Q3" s="208"/>
      <c r="R3" s="208"/>
      <c r="S3" s="208"/>
      <c r="T3" s="208"/>
      <c r="U3" s="208"/>
      <c r="V3" s="208"/>
      <c r="W3" s="1"/>
      <c r="Y3" s="1"/>
      <c r="Z3" s="208" t="s">
        <v>3</v>
      </c>
      <c r="AA3" s="208"/>
      <c r="AB3" s="208"/>
      <c r="AC3" s="208"/>
      <c r="AD3" s="208"/>
      <c r="AE3" s="208"/>
      <c r="AF3" s="208"/>
      <c r="AG3" s="208"/>
      <c r="AH3" s="1"/>
    </row>
    <row r="4" spans="2:34" ht="18.75">
      <c r="B4" s="208" t="s">
        <v>4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 t="s">
        <v>4</v>
      </c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9" t="s">
        <v>5</v>
      </c>
      <c r="Y4" s="209"/>
      <c r="Z4" s="209"/>
      <c r="AA4" s="209"/>
      <c r="AB4" s="209"/>
      <c r="AC4" s="209"/>
      <c r="AD4" s="209"/>
      <c r="AE4" s="209"/>
      <c r="AF4" s="209"/>
      <c r="AG4" s="209"/>
      <c r="AH4" s="209"/>
    </row>
    <row r="5" spans="2:34" ht="16.5" thickBot="1">
      <c r="C5" s="4"/>
      <c r="D5" s="4"/>
      <c r="E5" s="4"/>
      <c r="F5" s="4"/>
      <c r="G5" s="4"/>
      <c r="H5" s="5"/>
      <c r="I5" s="5"/>
      <c r="J5" s="4"/>
      <c r="K5" s="4"/>
      <c r="L5" s="6"/>
      <c r="N5" s="4"/>
      <c r="O5" s="4"/>
      <c r="P5" s="4"/>
      <c r="Q5" s="4"/>
      <c r="R5" s="4"/>
      <c r="S5" s="5"/>
      <c r="T5" s="5"/>
      <c r="U5" s="4"/>
      <c r="V5" s="4"/>
      <c r="W5" s="4"/>
      <c r="Y5" s="4"/>
      <c r="Z5" s="4"/>
      <c r="AA5" s="4"/>
      <c r="AB5" s="4"/>
      <c r="AC5" s="4"/>
      <c r="AD5" s="5"/>
      <c r="AE5" s="5"/>
      <c r="AF5" s="4"/>
      <c r="AG5" s="4"/>
      <c r="AH5" s="4"/>
    </row>
    <row r="6" spans="2:34" ht="15.75">
      <c r="C6" s="192" t="s">
        <v>6</v>
      </c>
      <c r="D6" s="193"/>
      <c r="E6" s="193"/>
      <c r="F6" s="193"/>
      <c r="G6" s="194"/>
      <c r="H6" s="198" t="s">
        <v>7</v>
      </c>
      <c r="I6" s="199"/>
      <c r="J6" s="199"/>
      <c r="K6" s="200"/>
      <c r="L6" s="6"/>
      <c r="N6" s="192" t="s">
        <v>6</v>
      </c>
      <c r="O6" s="193"/>
      <c r="P6" s="193"/>
      <c r="Q6" s="193"/>
      <c r="R6" s="194"/>
      <c r="S6" s="198" t="s">
        <v>7</v>
      </c>
      <c r="T6" s="199"/>
      <c r="U6" s="199"/>
      <c r="V6" s="200"/>
      <c r="W6" s="4"/>
      <c r="Y6" s="192" t="s">
        <v>6</v>
      </c>
      <c r="Z6" s="193"/>
      <c r="AA6" s="193"/>
      <c r="AB6" s="193"/>
      <c r="AC6" s="194"/>
      <c r="AD6" s="198" t="s">
        <v>7</v>
      </c>
      <c r="AE6" s="199"/>
      <c r="AF6" s="199"/>
      <c r="AG6" s="200"/>
      <c r="AH6" s="4"/>
    </row>
    <row r="7" spans="2:34" ht="15.75">
      <c r="C7" s="195"/>
      <c r="D7" s="196"/>
      <c r="E7" s="196"/>
      <c r="F7" s="196"/>
      <c r="G7" s="197"/>
      <c r="H7" s="201"/>
      <c r="I7" s="202"/>
      <c r="J7" s="202"/>
      <c r="K7" s="203"/>
      <c r="L7" s="6"/>
      <c r="N7" s="195"/>
      <c r="O7" s="196"/>
      <c r="P7" s="196"/>
      <c r="Q7" s="196"/>
      <c r="R7" s="197"/>
      <c r="S7" s="201"/>
      <c r="T7" s="202"/>
      <c r="U7" s="202"/>
      <c r="V7" s="203"/>
      <c r="W7" s="4"/>
      <c r="Y7" s="195"/>
      <c r="Z7" s="196"/>
      <c r="AA7" s="196"/>
      <c r="AB7" s="196"/>
      <c r="AC7" s="197"/>
      <c r="AD7" s="201"/>
      <c r="AE7" s="202"/>
      <c r="AF7" s="202"/>
      <c r="AG7" s="203"/>
      <c r="AH7" s="4"/>
    </row>
    <row r="8" spans="2:34" ht="22.5">
      <c r="C8" s="195"/>
      <c r="D8" s="196"/>
      <c r="E8" s="196"/>
      <c r="F8" s="196"/>
      <c r="G8" s="197"/>
      <c r="H8" s="204" t="s">
        <v>8</v>
      </c>
      <c r="I8" s="205"/>
      <c r="J8" s="206" t="s">
        <v>9</v>
      </c>
      <c r="K8" s="207"/>
      <c r="L8" s="6"/>
      <c r="N8" s="195"/>
      <c r="O8" s="196"/>
      <c r="P8" s="196"/>
      <c r="Q8" s="196"/>
      <c r="R8" s="197"/>
      <c r="S8" s="204" t="s">
        <v>8</v>
      </c>
      <c r="T8" s="205"/>
      <c r="U8" s="206" t="s">
        <v>9</v>
      </c>
      <c r="V8" s="207"/>
      <c r="W8" s="4"/>
      <c r="Y8" s="195"/>
      <c r="Z8" s="196"/>
      <c r="AA8" s="196"/>
      <c r="AB8" s="196"/>
      <c r="AC8" s="197"/>
      <c r="AD8" s="204" t="s">
        <v>8</v>
      </c>
      <c r="AE8" s="205"/>
      <c r="AF8" s="206" t="s">
        <v>9</v>
      </c>
      <c r="AG8" s="207"/>
      <c r="AH8" s="4"/>
    </row>
    <row r="9" spans="2:34" ht="15.75">
      <c r="C9" s="182" t="s">
        <v>10</v>
      </c>
      <c r="D9" s="183"/>
      <c r="E9" s="183"/>
      <c r="F9" s="183"/>
      <c r="G9" s="183"/>
      <c r="H9" s="176">
        <f>H10+H17</f>
        <v>2311.1</v>
      </c>
      <c r="I9" s="177"/>
      <c r="J9" s="167">
        <f>J17+J10</f>
        <v>21.01</v>
      </c>
      <c r="K9" s="168"/>
      <c r="L9" s="6"/>
      <c r="N9" s="182" t="s">
        <v>10</v>
      </c>
      <c r="O9" s="183"/>
      <c r="P9" s="183"/>
      <c r="Q9" s="183"/>
      <c r="R9" s="183"/>
      <c r="S9" s="176">
        <f>S10+S17</f>
        <v>2502.6</v>
      </c>
      <c r="T9" s="177"/>
      <c r="U9" s="167">
        <f>U17+U10</f>
        <v>8.4854237288135597</v>
      </c>
      <c r="V9" s="168"/>
      <c r="W9" s="4"/>
      <c r="Y9" s="182" t="s">
        <v>10</v>
      </c>
      <c r="Z9" s="183"/>
      <c r="AA9" s="183"/>
      <c r="AB9" s="183"/>
      <c r="AC9" s="183"/>
      <c r="AD9" s="176">
        <f>AD10+AD17</f>
        <v>467.4</v>
      </c>
      <c r="AE9" s="177"/>
      <c r="AF9" s="167">
        <f>AF17+AF10</f>
        <v>26.710000000000004</v>
      </c>
      <c r="AG9" s="168"/>
      <c r="AH9" s="4"/>
    </row>
    <row r="10" spans="2:34" ht="15.75">
      <c r="C10" s="190" t="s">
        <v>11</v>
      </c>
      <c r="D10" s="191"/>
      <c r="E10" s="191"/>
      <c r="F10" s="191"/>
      <c r="G10" s="191"/>
      <c r="H10" s="176">
        <f>H11+H12+H13+H14+H15+H16</f>
        <v>2148.1999999999998</v>
      </c>
      <c r="I10" s="177"/>
      <c r="J10" s="167">
        <f>J11+J12+J13+J14+J15+J16</f>
        <v>19.53</v>
      </c>
      <c r="K10" s="168"/>
      <c r="L10" s="6"/>
      <c r="N10" s="190" t="s">
        <v>11</v>
      </c>
      <c r="O10" s="191"/>
      <c r="P10" s="191"/>
      <c r="Q10" s="191"/>
      <c r="R10" s="191"/>
      <c r="S10" s="176">
        <f>S11+S12+S13+S14+S15+S16</f>
        <v>2326.1999999999998</v>
      </c>
      <c r="T10" s="177"/>
      <c r="U10" s="167">
        <f>U11+U12+U13+U14+U15+U16</f>
        <v>7.8854237288135591</v>
      </c>
      <c r="V10" s="168"/>
      <c r="W10" s="4"/>
      <c r="Y10" s="190" t="s">
        <v>11</v>
      </c>
      <c r="Z10" s="191"/>
      <c r="AA10" s="191"/>
      <c r="AB10" s="191"/>
      <c r="AC10" s="191"/>
      <c r="AD10" s="176">
        <f>AD11+AD12+AD13+AD14+AD15+AD16</f>
        <v>434.4</v>
      </c>
      <c r="AE10" s="177"/>
      <c r="AF10" s="167">
        <f>AF11+AF12+AF13+AF14+AF15+AF16</f>
        <v>24.820000000000004</v>
      </c>
      <c r="AG10" s="168"/>
      <c r="AH10" s="4"/>
    </row>
    <row r="11" spans="2:34" ht="15.75">
      <c r="C11" s="172" t="s">
        <v>12</v>
      </c>
      <c r="D11" s="173"/>
      <c r="E11" s="173"/>
      <c r="F11" s="173"/>
      <c r="G11" s="173"/>
      <c r="H11" s="165">
        <v>151.69999999999999</v>
      </c>
      <c r="I11" s="166"/>
      <c r="J11" s="174">
        <v>1.38</v>
      </c>
      <c r="K11" s="175"/>
      <c r="L11" s="6">
        <f>J11/J42*100</f>
        <v>4.4660194174757279</v>
      </c>
      <c r="N11" s="172" t="s">
        <v>12</v>
      </c>
      <c r="O11" s="173"/>
      <c r="P11" s="173"/>
      <c r="Q11" s="173"/>
      <c r="R11" s="173"/>
      <c r="S11" s="165">
        <v>626.1</v>
      </c>
      <c r="T11" s="166"/>
      <c r="U11" s="174">
        <f>S11/295</f>
        <v>2.1223728813559322</v>
      </c>
      <c r="V11" s="175"/>
      <c r="W11" s="4"/>
      <c r="Y11" s="172" t="s">
        <v>12</v>
      </c>
      <c r="Z11" s="173"/>
      <c r="AA11" s="173"/>
      <c r="AB11" s="173"/>
      <c r="AC11" s="173"/>
      <c r="AD11" s="165">
        <v>30.6</v>
      </c>
      <c r="AE11" s="166"/>
      <c r="AF11" s="174">
        <v>1.75</v>
      </c>
      <c r="AG11" s="175"/>
      <c r="AH11" s="4"/>
    </row>
    <row r="12" spans="2:34" ht="15.75">
      <c r="C12" s="172" t="s">
        <v>13</v>
      </c>
      <c r="D12" s="173"/>
      <c r="E12" s="173"/>
      <c r="F12" s="173"/>
      <c r="G12" s="173"/>
      <c r="H12" s="165">
        <v>177.4</v>
      </c>
      <c r="I12" s="166"/>
      <c r="J12" s="174">
        <v>1.61</v>
      </c>
      <c r="K12" s="175"/>
      <c r="L12" s="6"/>
      <c r="N12" s="172" t="s">
        <v>13</v>
      </c>
      <c r="O12" s="173"/>
      <c r="P12" s="173"/>
      <c r="Q12" s="173"/>
      <c r="R12" s="173"/>
      <c r="S12" s="165">
        <v>240.8</v>
      </c>
      <c r="T12" s="166"/>
      <c r="U12" s="174">
        <f t="shared" ref="U12:U16" si="0">S12/295</f>
        <v>0.81627118644067798</v>
      </c>
      <c r="V12" s="175"/>
      <c r="W12" s="4"/>
      <c r="Y12" s="172" t="s">
        <v>13</v>
      </c>
      <c r="Z12" s="173"/>
      <c r="AA12" s="173"/>
      <c r="AB12" s="173"/>
      <c r="AC12" s="173"/>
      <c r="AD12" s="165">
        <v>281.2</v>
      </c>
      <c r="AE12" s="166"/>
      <c r="AF12" s="174">
        <v>16.07</v>
      </c>
      <c r="AG12" s="175"/>
      <c r="AH12" s="4"/>
    </row>
    <row r="13" spans="2:34" ht="15.75">
      <c r="C13" s="172" t="s">
        <v>14</v>
      </c>
      <c r="D13" s="173"/>
      <c r="E13" s="173"/>
      <c r="F13" s="173"/>
      <c r="G13" s="173"/>
      <c r="H13" s="165">
        <v>1137.0999999999999</v>
      </c>
      <c r="I13" s="166"/>
      <c r="J13" s="174">
        <v>10.34</v>
      </c>
      <c r="K13" s="175"/>
      <c r="L13" s="6">
        <f>J13/J42*100</f>
        <v>33.462783171521039</v>
      </c>
      <c r="N13" s="172" t="s">
        <v>14</v>
      </c>
      <c r="O13" s="173"/>
      <c r="P13" s="173"/>
      <c r="Q13" s="173"/>
      <c r="R13" s="173"/>
      <c r="S13" s="165">
        <v>952.7</v>
      </c>
      <c r="T13" s="166"/>
      <c r="U13" s="174">
        <f t="shared" si="0"/>
        <v>3.2294915254237289</v>
      </c>
      <c r="V13" s="175"/>
      <c r="W13" s="4"/>
      <c r="Y13" s="172" t="s">
        <v>14</v>
      </c>
      <c r="Z13" s="173"/>
      <c r="AA13" s="173"/>
      <c r="AB13" s="173"/>
      <c r="AC13" s="173"/>
      <c r="AD13" s="165">
        <v>84.3</v>
      </c>
      <c r="AE13" s="166"/>
      <c r="AF13" s="174">
        <v>4.82</v>
      </c>
      <c r="AG13" s="175"/>
      <c r="AH13" s="4"/>
    </row>
    <row r="14" spans="2:34" ht="15.75">
      <c r="C14" s="180" t="s">
        <v>15</v>
      </c>
      <c r="D14" s="181"/>
      <c r="E14" s="181"/>
      <c r="F14" s="181"/>
      <c r="G14" s="181"/>
      <c r="H14" s="165">
        <v>250.2</v>
      </c>
      <c r="I14" s="166"/>
      <c r="J14" s="174">
        <v>2.2799999999999998</v>
      </c>
      <c r="K14" s="175"/>
      <c r="L14" s="6">
        <f>J14/J42*100</f>
        <v>7.3786407766990285</v>
      </c>
      <c r="N14" s="180" t="s">
        <v>15</v>
      </c>
      <c r="O14" s="181"/>
      <c r="P14" s="181"/>
      <c r="Q14" s="181"/>
      <c r="R14" s="181"/>
      <c r="S14" s="165">
        <v>209.6</v>
      </c>
      <c r="T14" s="166"/>
      <c r="U14" s="174">
        <f t="shared" si="0"/>
        <v>0.7105084745762712</v>
      </c>
      <c r="V14" s="175"/>
      <c r="W14" s="4"/>
      <c r="Y14" s="180" t="s">
        <v>15</v>
      </c>
      <c r="Z14" s="181"/>
      <c r="AA14" s="181"/>
      <c r="AB14" s="181"/>
      <c r="AC14" s="181"/>
      <c r="AD14" s="165">
        <v>18.5</v>
      </c>
      <c r="AE14" s="166"/>
      <c r="AF14" s="174">
        <v>1.05</v>
      </c>
      <c r="AG14" s="175"/>
      <c r="AH14" s="4"/>
    </row>
    <row r="15" spans="2:34" ht="15.75">
      <c r="C15" s="172" t="s">
        <v>16</v>
      </c>
      <c r="D15" s="173"/>
      <c r="E15" s="173"/>
      <c r="F15" s="173"/>
      <c r="G15" s="173"/>
      <c r="H15" s="165">
        <v>398.5</v>
      </c>
      <c r="I15" s="166"/>
      <c r="J15" s="174">
        <v>3.62</v>
      </c>
      <c r="K15" s="175"/>
      <c r="L15" s="6"/>
      <c r="N15" s="172" t="s">
        <v>16</v>
      </c>
      <c r="O15" s="173"/>
      <c r="P15" s="173"/>
      <c r="Q15" s="173"/>
      <c r="R15" s="173"/>
      <c r="S15" s="165">
        <v>102.4</v>
      </c>
      <c r="T15" s="166"/>
      <c r="U15" s="174">
        <f t="shared" si="0"/>
        <v>0.34711864406779663</v>
      </c>
      <c r="V15" s="175"/>
      <c r="W15" s="4"/>
      <c r="Y15" s="172" t="s">
        <v>16</v>
      </c>
      <c r="Z15" s="173"/>
      <c r="AA15" s="173"/>
      <c r="AB15" s="173"/>
      <c r="AC15" s="173"/>
      <c r="AD15" s="165">
        <v>14.9</v>
      </c>
      <c r="AE15" s="166"/>
      <c r="AF15" s="174">
        <v>0.85</v>
      </c>
      <c r="AG15" s="175"/>
      <c r="AH15" s="4"/>
    </row>
    <row r="16" spans="2:34" ht="15.75">
      <c r="C16" s="172" t="s">
        <v>17</v>
      </c>
      <c r="D16" s="173"/>
      <c r="E16" s="173"/>
      <c r="F16" s="173"/>
      <c r="G16" s="173"/>
      <c r="H16" s="165">
        <v>33.299999999999997</v>
      </c>
      <c r="I16" s="166"/>
      <c r="J16" s="174">
        <v>0.3</v>
      </c>
      <c r="K16" s="175"/>
      <c r="L16" s="6"/>
      <c r="N16" s="172" t="s">
        <v>17</v>
      </c>
      <c r="O16" s="173"/>
      <c r="P16" s="173"/>
      <c r="Q16" s="173"/>
      <c r="R16" s="173"/>
      <c r="S16" s="165">
        <v>194.6</v>
      </c>
      <c r="T16" s="166"/>
      <c r="U16" s="174">
        <f t="shared" si="0"/>
        <v>0.65966101694915247</v>
      </c>
      <c r="V16" s="175"/>
      <c r="W16" s="4"/>
      <c r="Y16" s="172" t="s">
        <v>17</v>
      </c>
      <c r="Z16" s="173"/>
      <c r="AA16" s="173"/>
      <c r="AB16" s="173"/>
      <c r="AC16" s="173"/>
      <c r="AD16" s="165">
        <v>4.9000000000000004</v>
      </c>
      <c r="AE16" s="166"/>
      <c r="AF16" s="174">
        <v>0.28000000000000003</v>
      </c>
      <c r="AG16" s="175"/>
      <c r="AH16" s="4"/>
    </row>
    <row r="17" spans="3:34" ht="15.75">
      <c r="C17" s="182" t="s">
        <v>18</v>
      </c>
      <c r="D17" s="183"/>
      <c r="E17" s="183"/>
      <c r="F17" s="183"/>
      <c r="G17" s="183"/>
      <c r="H17" s="176">
        <f>H18+H19+H20</f>
        <v>162.9</v>
      </c>
      <c r="I17" s="177"/>
      <c r="J17" s="167">
        <f>J18+J19+J20</f>
        <v>1.48</v>
      </c>
      <c r="K17" s="168"/>
      <c r="L17" s="6">
        <f>J17/J42*100</f>
        <v>4.7896440129449838</v>
      </c>
      <c r="N17" s="182" t="s">
        <v>18</v>
      </c>
      <c r="O17" s="183"/>
      <c r="P17" s="183"/>
      <c r="Q17" s="183"/>
      <c r="R17" s="183"/>
      <c r="S17" s="176">
        <f>S18+S19+S20</f>
        <v>176.4</v>
      </c>
      <c r="T17" s="177"/>
      <c r="U17" s="167">
        <f>U18+U19+U20</f>
        <v>0.6</v>
      </c>
      <c r="V17" s="168"/>
      <c r="W17" s="4"/>
      <c r="Y17" s="182" t="s">
        <v>18</v>
      </c>
      <c r="Z17" s="183"/>
      <c r="AA17" s="183"/>
      <c r="AB17" s="183"/>
      <c r="AC17" s="183"/>
      <c r="AD17" s="188">
        <f>AD18+AD19+AD20</f>
        <v>33</v>
      </c>
      <c r="AE17" s="189"/>
      <c r="AF17" s="167">
        <f>AF18+AF19+AF20</f>
        <v>1.8900000000000001</v>
      </c>
      <c r="AG17" s="168"/>
      <c r="AH17" s="4"/>
    </row>
    <row r="18" spans="3:34" ht="15.75">
      <c r="C18" s="172" t="s">
        <v>14</v>
      </c>
      <c r="D18" s="173"/>
      <c r="E18" s="173"/>
      <c r="F18" s="173"/>
      <c r="G18" s="173"/>
      <c r="H18" s="165">
        <v>126.5</v>
      </c>
      <c r="I18" s="166"/>
      <c r="J18" s="174">
        <f>H18/110</f>
        <v>1.1499999999999999</v>
      </c>
      <c r="K18" s="175"/>
      <c r="L18" s="6"/>
      <c r="N18" s="172" t="s">
        <v>14</v>
      </c>
      <c r="O18" s="173"/>
      <c r="P18" s="173"/>
      <c r="Q18" s="173"/>
      <c r="R18" s="173"/>
      <c r="S18" s="165">
        <v>137</v>
      </c>
      <c r="T18" s="166"/>
      <c r="U18" s="174">
        <v>0.47</v>
      </c>
      <c r="V18" s="175"/>
      <c r="W18" s="4"/>
      <c r="Y18" s="172" t="s">
        <v>14</v>
      </c>
      <c r="Z18" s="173"/>
      <c r="AA18" s="173"/>
      <c r="AB18" s="173"/>
      <c r="AC18" s="173"/>
      <c r="AD18" s="165">
        <v>25.6</v>
      </c>
      <c r="AE18" s="166"/>
      <c r="AF18" s="174">
        <v>1.46</v>
      </c>
      <c r="AG18" s="175"/>
      <c r="AH18" s="4"/>
    </row>
    <row r="19" spans="3:34" ht="15.75">
      <c r="C19" s="180" t="s">
        <v>15</v>
      </c>
      <c r="D19" s="181"/>
      <c r="E19" s="181"/>
      <c r="F19" s="181"/>
      <c r="G19" s="181"/>
      <c r="H19" s="165">
        <v>27.8</v>
      </c>
      <c r="I19" s="166"/>
      <c r="J19" s="174">
        <v>0.25</v>
      </c>
      <c r="K19" s="175"/>
      <c r="L19" s="6"/>
      <c r="N19" s="180" t="s">
        <v>15</v>
      </c>
      <c r="O19" s="181"/>
      <c r="P19" s="181"/>
      <c r="Q19" s="181"/>
      <c r="R19" s="181"/>
      <c r="S19" s="165">
        <v>30.1</v>
      </c>
      <c r="T19" s="166"/>
      <c r="U19" s="174">
        <v>0.1</v>
      </c>
      <c r="V19" s="175"/>
      <c r="W19" s="4"/>
      <c r="Y19" s="180" t="s">
        <v>15</v>
      </c>
      <c r="Z19" s="181"/>
      <c r="AA19" s="181"/>
      <c r="AB19" s="181"/>
      <c r="AC19" s="181"/>
      <c r="AD19" s="165">
        <v>5.6</v>
      </c>
      <c r="AE19" s="166"/>
      <c r="AF19" s="174">
        <v>0.32</v>
      </c>
      <c r="AG19" s="175"/>
      <c r="AH19" s="4"/>
    </row>
    <row r="20" spans="3:34" ht="15.75">
      <c r="C20" s="172" t="s">
        <v>19</v>
      </c>
      <c r="D20" s="173"/>
      <c r="E20" s="173"/>
      <c r="F20" s="173"/>
      <c r="G20" s="173"/>
      <c r="H20" s="165">
        <v>8.6</v>
      </c>
      <c r="I20" s="166"/>
      <c r="J20" s="174">
        <v>0.08</v>
      </c>
      <c r="K20" s="175"/>
      <c r="L20" s="6"/>
      <c r="N20" s="172" t="s">
        <v>19</v>
      </c>
      <c r="O20" s="173"/>
      <c r="P20" s="173"/>
      <c r="Q20" s="173"/>
      <c r="R20" s="173"/>
      <c r="S20" s="165">
        <v>9.3000000000000007</v>
      </c>
      <c r="T20" s="166"/>
      <c r="U20" s="174">
        <v>0.03</v>
      </c>
      <c r="V20" s="175"/>
      <c r="W20" s="4"/>
      <c r="Y20" s="172" t="s">
        <v>19</v>
      </c>
      <c r="Z20" s="173"/>
      <c r="AA20" s="173"/>
      <c r="AB20" s="173"/>
      <c r="AC20" s="173"/>
      <c r="AD20" s="165">
        <v>1.8</v>
      </c>
      <c r="AE20" s="166"/>
      <c r="AF20" s="174">
        <v>0.11</v>
      </c>
      <c r="AG20" s="175"/>
      <c r="AH20" s="4"/>
    </row>
    <row r="21" spans="3:34" ht="15.75">
      <c r="C21" s="182" t="s">
        <v>20</v>
      </c>
      <c r="D21" s="183"/>
      <c r="E21" s="183"/>
      <c r="F21" s="183"/>
      <c r="G21" s="183"/>
      <c r="H21" s="176">
        <f>H22+H23+H24</f>
        <v>253.79999999999998</v>
      </c>
      <c r="I21" s="177"/>
      <c r="J21" s="167">
        <f>J22+J23+J24</f>
        <v>2.31</v>
      </c>
      <c r="K21" s="168"/>
      <c r="L21" s="6">
        <f>J21/J42*100</f>
        <v>7.4757281553398061</v>
      </c>
      <c r="N21" s="182" t="s">
        <v>20</v>
      </c>
      <c r="O21" s="183"/>
      <c r="P21" s="183"/>
      <c r="Q21" s="183"/>
      <c r="R21" s="183"/>
      <c r="S21" s="186">
        <f>S22+S23+S24</f>
        <v>274.90000000000003</v>
      </c>
      <c r="T21" s="187"/>
      <c r="U21" s="167">
        <f>U22+U23+U24</f>
        <v>0.93</v>
      </c>
      <c r="V21" s="168"/>
      <c r="W21" s="4"/>
      <c r="Y21" s="182" t="s">
        <v>20</v>
      </c>
      <c r="Z21" s="183"/>
      <c r="AA21" s="183"/>
      <c r="AB21" s="183"/>
      <c r="AC21" s="183"/>
      <c r="AD21" s="176">
        <f>AD22+AD23+AD24</f>
        <v>51.3</v>
      </c>
      <c r="AE21" s="177"/>
      <c r="AF21" s="167">
        <f>AF22+AF23+AF24</f>
        <v>2.9299999999999997</v>
      </c>
      <c r="AG21" s="168"/>
      <c r="AH21" s="4"/>
    </row>
    <row r="22" spans="3:34" ht="15.75">
      <c r="C22" s="172" t="s">
        <v>14</v>
      </c>
      <c r="D22" s="173"/>
      <c r="E22" s="173"/>
      <c r="F22" s="173"/>
      <c r="G22" s="173"/>
      <c r="H22" s="165">
        <v>147.69999999999999</v>
      </c>
      <c r="I22" s="166"/>
      <c r="J22" s="174">
        <v>1.34</v>
      </c>
      <c r="K22" s="175"/>
      <c r="L22" s="6"/>
      <c r="N22" s="172" t="s">
        <v>14</v>
      </c>
      <c r="O22" s="173"/>
      <c r="P22" s="173"/>
      <c r="Q22" s="173"/>
      <c r="R22" s="173"/>
      <c r="S22" s="184">
        <v>159.9</v>
      </c>
      <c r="T22" s="185"/>
      <c r="U22" s="174">
        <v>0.54</v>
      </c>
      <c r="V22" s="175"/>
      <c r="W22" s="4"/>
      <c r="Y22" s="172" t="s">
        <v>14</v>
      </c>
      <c r="Z22" s="173"/>
      <c r="AA22" s="173"/>
      <c r="AB22" s="173"/>
      <c r="AC22" s="173"/>
      <c r="AD22" s="165">
        <v>29.9</v>
      </c>
      <c r="AE22" s="166"/>
      <c r="AF22" s="174">
        <v>1.71</v>
      </c>
      <c r="AG22" s="175"/>
      <c r="AH22" s="4"/>
    </row>
    <row r="23" spans="3:34" ht="15.75">
      <c r="C23" s="180" t="s">
        <v>15</v>
      </c>
      <c r="D23" s="181"/>
      <c r="E23" s="181"/>
      <c r="F23" s="181"/>
      <c r="G23" s="181"/>
      <c r="H23" s="165">
        <v>32.5</v>
      </c>
      <c r="I23" s="166"/>
      <c r="J23" s="174">
        <v>0.3</v>
      </c>
      <c r="K23" s="175"/>
      <c r="L23" s="6"/>
      <c r="N23" s="180" t="s">
        <v>15</v>
      </c>
      <c r="O23" s="181"/>
      <c r="P23" s="181"/>
      <c r="Q23" s="181"/>
      <c r="R23" s="181"/>
      <c r="S23" s="184">
        <v>35.200000000000003</v>
      </c>
      <c r="T23" s="185"/>
      <c r="U23" s="174">
        <v>0.12</v>
      </c>
      <c r="V23" s="175"/>
      <c r="W23" s="4"/>
      <c r="Y23" s="180" t="s">
        <v>15</v>
      </c>
      <c r="Z23" s="181"/>
      <c r="AA23" s="181"/>
      <c r="AB23" s="181"/>
      <c r="AC23" s="181"/>
      <c r="AD23" s="165">
        <v>6.6</v>
      </c>
      <c r="AE23" s="166"/>
      <c r="AF23" s="174">
        <v>0.38</v>
      </c>
      <c r="AG23" s="175"/>
      <c r="AH23" s="4"/>
    </row>
    <row r="24" spans="3:34" ht="15.75">
      <c r="C24" s="172" t="s">
        <v>19</v>
      </c>
      <c r="D24" s="173"/>
      <c r="E24" s="173"/>
      <c r="F24" s="173"/>
      <c r="G24" s="173"/>
      <c r="H24" s="165">
        <v>73.599999999999994</v>
      </c>
      <c r="I24" s="166"/>
      <c r="J24" s="174">
        <v>0.67</v>
      </c>
      <c r="K24" s="175"/>
      <c r="L24" s="6"/>
      <c r="N24" s="172" t="s">
        <v>19</v>
      </c>
      <c r="O24" s="173"/>
      <c r="P24" s="173"/>
      <c r="Q24" s="173"/>
      <c r="R24" s="173"/>
      <c r="S24" s="184">
        <v>79.8</v>
      </c>
      <c r="T24" s="185"/>
      <c r="U24" s="174">
        <v>0.27</v>
      </c>
      <c r="V24" s="175"/>
      <c r="W24" s="4"/>
      <c r="Y24" s="172" t="s">
        <v>19</v>
      </c>
      <c r="Z24" s="173"/>
      <c r="AA24" s="173"/>
      <c r="AB24" s="173"/>
      <c r="AC24" s="173"/>
      <c r="AD24" s="165">
        <v>14.8</v>
      </c>
      <c r="AE24" s="166"/>
      <c r="AF24" s="174">
        <v>0.84</v>
      </c>
      <c r="AG24" s="175"/>
      <c r="AH24" s="4"/>
    </row>
    <row r="25" spans="3:34" ht="15.75">
      <c r="C25" s="182" t="s">
        <v>21</v>
      </c>
      <c r="D25" s="183"/>
      <c r="E25" s="183"/>
      <c r="F25" s="183"/>
      <c r="G25" s="183"/>
      <c r="H25" s="176">
        <f>H26+H27+H28</f>
        <v>267.8</v>
      </c>
      <c r="I25" s="177"/>
      <c r="J25" s="167">
        <f>J26+J27+J28</f>
        <v>2.4300000000000002</v>
      </c>
      <c r="K25" s="168"/>
      <c r="L25" s="6">
        <f>J25/J42*100</f>
        <v>7.8640776699029136</v>
      </c>
      <c r="N25" s="182" t="s">
        <v>21</v>
      </c>
      <c r="O25" s="183"/>
      <c r="P25" s="183"/>
      <c r="Q25" s="183"/>
      <c r="R25" s="183"/>
      <c r="S25" s="176">
        <f>S26+S27+S28</f>
        <v>290</v>
      </c>
      <c r="T25" s="177"/>
      <c r="U25" s="167">
        <f>U26+U27+U28</f>
        <v>0.98</v>
      </c>
      <c r="V25" s="168"/>
      <c r="W25" s="4"/>
      <c r="Y25" s="182" t="s">
        <v>21</v>
      </c>
      <c r="Z25" s="183"/>
      <c r="AA25" s="183"/>
      <c r="AB25" s="183"/>
      <c r="AC25" s="183"/>
      <c r="AD25" s="176">
        <f>AD26+AD27+AD28</f>
        <v>54.199999999999996</v>
      </c>
      <c r="AE25" s="177"/>
      <c r="AF25" s="167">
        <f>AF26+AF27+AF28</f>
        <v>3.1</v>
      </c>
      <c r="AG25" s="168"/>
      <c r="AH25" s="4"/>
    </row>
    <row r="26" spans="3:34" ht="15.75">
      <c r="C26" s="172" t="s">
        <v>14</v>
      </c>
      <c r="D26" s="173"/>
      <c r="E26" s="173"/>
      <c r="F26" s="173"/>
      <c r="G26" s="173"/>
      <c r="H26" s="165">
        <v>202</v>
      </c>
      <c r="I26" s="166"/>
      <c r="J26" s="174">
        <v>1.84</v>
      </c>
      <c r="K26" s="175"/>
      <c r="L26" s="6"/>
      <c r="N26" s="172" t="s">
        <v>14</v>
      </c>
      <c r="O26" s="173"/>
      <c r="P26" s="173"/>
      <c r="Q26" s="173"/>
      <c r="R26" s="173"/>
      <c r="S26" s="165">
        <v>218.7</v>
      </c>
      <c r="T26" s="166"/>
      <c r="U26" s="174">
        <v>0.74</v>
      </c>
      <c r="V26" s="175"/>
      <c r="W26" s="4"/>
      <c r="Y26" s="172" t="s">
        <v>14</v>
      </c>
      <c r="Z26" s="173"/>
      <c r="AA26" s="173"/>
      <c r="AB26" s="173"/>
      <c r="AC26" s="173"/>
      <c r="AD26" s="165">
        <v>40.799999999999997</v>
      </c>
      <c r="AE26" s="166"/>
      <c r="AF26" s="174">
        <v>2.33</v>
      </c>
      <c r="AG26" s="175"/>
      <c r="AH26" s="4"/>
    </row>
    <row r="27" spans="3:34" ht="15.75">
      <c r="C27" s="180" t="s">
        <v>15</v>
      </c>
      <c r="D27" s="181"/>
      <c r="E27" s="181"/>
      <c r="F27" s="181"/>
      <c r="G27" s="181"/>
      <c r="H27" s="165">
        <v>44.4</v>
      </c>
      <c r="I27" s="166"/>
      <c r="J27" s="174">
        <v>0.4</v>
      </c>
      <c r="K27" s="175"/>
      <c r="L27" s="6"/>
      <c r="N27" s="180" t="s">
        <v>15</v>
      </c>
      <c r="O27" s="181"/>
      <c r="P27" s="181"/>
      <c r="Q27" s="181"/>
      <c r="R27" s="181"/>
      <c r="S27" s="165">
        <v>48.1</v>
      </c>
      <c r="T27" s="166"/>
      <c r="U27" s="174">
        <v>0.16</v>
      </c>
      <c r="V27" s="175"/>
      <c r="W27" s="4"/>
      <c r="Y27" s="180" t="s">
        <v>15</v>
      </c>
      <c r="Z27" s="181"/>
      <c r="AA27" s="181"/>
      <c r="AB27" s="181"/>
      <c r="AC27" s="181"/>
      <c r="AD27" s="165">
        <v>9</v>
      </c>
      <c r="AE27" s="166"/>
      <c r="AF27" s="174">
        <v>0.52</v>
      </c>
      <c r="AG27" s="175"/>
      <c r="AH27" s="4"/>
    </row>
    <row r="28" spans="3:34" ht="15.75">
      <c r="C28" s="172" t="s">
        <v>19</v>
      </c>
      <c r="D28" s="173"/>
      <c r="E28" s="173"/>
      <c r="F28" s="173"/>
      <c r="G28" s="173"/>
      <c r="H28" s="165">
        <v>21.4</v>
      </c>
      <c r="I28" s="166"/>
      <c r="J28" s="174">
        <v>0.19</v>
      </c>
      <c r="K28" s="175"/>
      <c r="L28" s="6"/>
      <c r="N28" s="172" t="s">
        <v>19</v>
      </c>
      <c r="O28" s="173"/>
      <c r="P28" s="173"/>
      <c r="Q28" s="173"/>
      <c r="R28" s="173"/>
      <c r="S28" s="165">
        <v>23.2</v>
      </c>
      <c r="T28" s="166"/>
      <c r="U28" s="174">
        <v>0.08</v>
      </c>
      <c r="V28" s="175"/>
      <c r="W28" s="4"/>
      <c r="Y28" s="172" t="s">
        <v>19</v>
      </c>
      <c r="Z28" s="173"/>
      <c r="AA28" s="173"/>
      <c r="AB28" s="173"/>
      <c r="AC28" s="173"/>
      <c r="AD28" s="165">
        <v>4.4000000000000004</v>
      </c>
      <c r="AE28" s="166"/>
      <c r="AF28" s="174">
        <v>0.25</v>
      </c>
      <c r="AG28" s="175"/>
      <c r="AH28" s="4"/>
    </row>
    <row r="29" spans="3:34" ht="15.75">
      <c r="C29" s="172" t="s">
        <v>22</v>
      </c>
      <c r="D29" s="173"/>
      <c r="E29" s="173"/>
      <c r="F29" s="173"/>
      <c r="G29" s="173"/>
      <c r="H29" s="165"/>
      <c r="I29" s="166"/>
      <c r="J29" s="174"/>
      <c r="K29" s="175"/>
      <c r="L29" s="6"/>
      <c r="N29" s="172" t="s">
        <v>22</v>
      </c>
      <c r="O29" s="173"/>
      <c r="P29" s="173"/>
      <c r="Q29" s="173"/>
      <c r="R29" s="173"/>
      <c r="S29" s="165"/>
      <c r="T29" s="166"/>
      <c r="U29" s="174"/>
      <c r="V29" s="175"/>
      <c r="W29" s="4"/>
      <c r="Y29" s="172" t="s">
        <v>22</v>
      </c>
      <c r="Z29" s="173"/>
      <c r="AA29" s="173"/>
      <c r="AB29" s="173"/>
      <c r="AC29" s="173"/>
      <c r="AD29" s="165"/>
      <c r="AE29" s="166"/>
      <c r="AF29" s="174"/>
      <c r="AG29" s="175"/>
      <c r="AH29" s="4"/>
    </row>
    <row r="30" spans="3:34" ht="15.75">
      <c r="C30" s="172" t="s">
        <v>23</v>
      </c>
      <c r="D30" s="173"/>
      <c r="E30" s="173"/>
      <c r="F30" s="173"/>
      <c r="G30" s="173"/>
      <c r="H30" s="165"/>
      <c r="I30" s="166"/>
      <c r="J30" s="174"/>
      <c r="K30" s="175"/>
      <c r="L30" s="6"/>
      <c r="N30" s="172" t="s">
        <v>23</v>
      </c>
      <c r="O30" s="173"/>
      <c r="P30" s="173"/>
      <c r="Q30" s="173"/>
      <c r="R30" s="173"/>
      <c r="S30" s="165"/>
      <c r="T30" s="166"/>
      <c r="U30" s="174"/>
      <c r="V30" s="175"/>
      <c r="W30" s="4"/>
      <c r="Y30" s="172" t="s">
        <v>23</v>
      </c>
      <c r="Z30" s="173"/>
      <c r="AA30" s="173"/>
      <c r="AB30" s="173"/>
      <c r="AC30" s="173"/>
      <c r="AD30" s="165"/>
      <c r="AE30" s="166"/>
      <c r="AF30" s="174"/>
      <c r="AG30" s="175"/>
      <c r="AH30" s="4"/>
    </row>
    <row r="31" spans="3:34" ht="15.75">
      <c r="C31" s="178" t="s">
        <v>24</v>
      </c>
      <c r="D31" s="179"/>
      <c r="E31" s="179"/>
      <c r="F31" s="179"/>
      <c r="G31" s="179"/>
      <c r="H31" s="176">
        <f>H9+H21+H25</f>
        <v>2832.7000000000003</v>
      </c>
      <c r="I31" s="177"/>
      <c r="J31" s="167">
        <f>J9+J21+J25</f>
        <v>25.75</v>
      </c>
      <c r="K31" s="168"/>
      <c r="L31" s="6"/>
      <c r="N31" s="178" t="s">
        <v>24</v>
      </c>
      <c r="O31" s="179"/>
      <c r="P31" s="179"/>
      <c r="Q31" s="179"/>
      <c r="R31" s="179"/>
      <c r="S31" s="176">
        <f>S9+S21+S25</f>
        <v>3067.5</v>
      </c>
      <c r="T31" s="177"/>
      <c r="U31" s="167">
        <f>8.49+0.93+0.98</f>
        <v>10.4</v>
      </c>
      <c r="V31" s="168"/>
      <c r="W31" s="4"/>
      <c r="Y31" s="178" t="s">
        <v>24</v>
      </c>
      <c r="Z31" s="179"/>
      <c r="AA31" s="179"/>
      <c r="AB31" s="179"/>
      <c r="AC31" s="179"/>
      <c r="AD31" s="165">
        <f>AD9+AD21+AD25</f>
        <v>572.9</v>
      </c>
      <c r="AE31" s="166"/>
      <c r="AF31" s="174">
        <f>AF9+AF21+AF25</f>
        <v>32.74</v>
      </c>
      <c r="AG31" s="175"/>
      <c r="AH31" s="4"/>
    </row>
    <row r="32" spans="3:34" ht="18.75">
      <c r="C32" s="172" t="s">
        <v>25</v>
      </c>
      <c r="D32" s="173"/>
      <c r="E32" s="173"/>
      <c r="F32" s="173"/>
      <c r="G32" s="173"/>
      <c r="H32" s="176">
        <v>110</v>
      </c>
      <c r="I32" s="177"/>
      <c r="J32" s="174"/>
      <c r="K32" s="175"/>
      <c r="L32" s="6"/>
      <c r="N32" s="172" t="s">
        <v>25</v>
      </c>
      <c r="O32" s="173"/>
      <c r="P32" s="173"/>
      <c r="Q32" s="173"/>
      <c r="R32" s="173"/>
      <c r="S32" s="176">
        <v>295</v>
      </c>
      <c r="T32" s="177"/>
      <c r="U32" s="174"/>
      <c r="V32" s="175"/>
      <c r="W32" s="4"/>
      <c r="Y32" s="172" t="s">
        <v>25</v>
      </c>
      <c r="Z32" s="173"/>
      <c r="AA32" s="173"/>
      <c r="AB32" s="173"/>
      <c r="AC32" s="173"/>
      <c r="AD32" s="165">
        <v>17.5</v>
      </c>
      <c r="AE32" s="166"/>
      <c r="AF32" s="174"/>
      <c r="AG32" s="175"/>
      <c r="AH32" s="4"/>
    </row>
    <row r="33" spans="3:34" ht="18.75">
      <c r="C33" s="172" t="s">
        <v>26</v>
      </c>
      <c r="D33" s="173"/>
      <c r="E33" s="173"/>
      <c r="F33" s="173"/>
      <c r="G33" s="173"/>
      <c r="H33" s="176">
        <v>91</v>
      </c>
      <c r="I33" s="177"/>
      <c r="J33" s="174"/>
      <c r="K33" s="175"/>
      <c r="L33" s="6"/>
      <c r="N33" s="172" t="s">
        <v>26</v>
      </c>
      <c r="O33" s="173"/>
      <c r="P33" s="173"/>
      <c r="Q33" s="173"/>
      <c r="R33" s="173"/>
      <c r="S33" s="176">
        <v>257</v>
      </c>
      <c r="T33" s="177"/>
      <c r="U33" s="174"/>
      <c r="V33" s="175"/>
      <c r="W33" s="4"/>
      <c r="Y33" s="172" t="s">
        <v>26</v>
      </c>
      <c r="Z33" s="173"/>
      <c r="AA33" s="173"/>
      <c r="AB33" s="173"/>
      <c r="AC33" s="173"/>
      <c r="AD33" s="165">
        <v>16.3</v>
      </c>
      <c r="AE33" s="166"/>
      <c r="AF33" s="174"/>
      <c r="AG33" s="175"/>
      <c r="AH33" s="4"/>
    </row>
    <row r="34" spans="3:34" ht="15.75">
      <c r="C34" s="172" t="s">
        <v>27</v>
      </c>
      <c r="D34" s="173"/>
      <c r="E34" s="173"/>
      <c r="F34" s="173"/>
      <c r="G34" s="173"/>
      <c r="H34" s="176">
        <v>12.5</v>
      </c>
      <c r="I34" s="177"/>
      <c r="J34" s="174"/>
      <c r="K34" s="175"/>
      <c r="L34" s="6"/>
      <c r="N34" s="172" t="s">
        <v>27</v>
      </c>
      <c r="O34" s="173"/>
      <c r="P34" s="173"/>
      <c r="Q34" s="173"/>
      <c r="R34" s="173"/>
      <c r="S34" s="176">
        <v>22</v>
      </c>
      <c r="T34" s="177"/>
      <c r="U34" s="174"/>
      <c r="V34" s="175"/>
      <c r="W34" s="4"/>
      <c r="Y34" s="172" t="s">
        <v>27</v>
      </c>
      <c r="Z34" s="173"/>
      <c r="AA34" s="173"/>
      <c r="AB34" s="173"/>
      <c r="AC34" s="173"/>
      <c r="AD34" s="165">
        <v>1.1000000000000001</v>
      </c>
      <c r="AE34" s="166"/>
      <c r="AF34" s="174"/>
      <c r="AG34" s="175"/>
      <c r="AH34" s="4"/>
    </row>
    <row r="35" spans="3:34" ht="18.75">
      <c r="C35" s="172" t="s">
        <v>28</v>
      </c>
      <c r="D35" s="173"/>
      <c r="E35" s="173"/>
      <c r="F35" s="173"/>
      <c r="G35" s="173"/>
      <c r="H35" s="176">
        <v>6.5</v>
      </c>
      <c r="I35" s="177"/>
      <c r="J35" s="174"/>
      <c r="K35" s="175"/>
      <c r="L35" s="6"/>
      <c r="N35" s="172" t="s">
        <v>28</v>
      </c>
      <c r="O35" s="173"/>
      <c r="P35" s="173"/>
      <c r="Q35" s="173"/>
      <c r="R35" s="173"/>
      <c r="S35" s="176">
        <v>16</v>
      </c>
      <c r="T35" s="177"/>
      <c r="U35" s="174"/>
      <c r="V35" s="175"/>
      <c r="W35" s="4"/>
      <c r="Y35" s="172" t="s">
        <v>28</v>
      </c>
      <c r="Z35" s="173"/>
      <c r="AA35" s="173"/>
      <c r="AB35" s="173"/>
      <c r="AC35" s="173"/>
      <c r="AD35" s="165">
        <v>0.1</v>
      </c>
      <c r="AE35" s="166"/>
      <c r="AF35" s="174"/>
      <c r="AG35" s="175"/>
      <c r="AH35" s="4"/>
    </row>
    <row r="36" spans="3:34" ht="15.75">
      <c r="C36" s="172" t="s">
        <v>29</v>
      </c>
      <c r="D36" s="173"/>
      <c r="E36" s="173"/>
      <c r="F36" s="173"/>
      <c r="G36" s="173"/>
      <c r="H36" s="165"/>
      <c r="I36" s="166"/>
      <c r="J36" s="174"/>
      <c r="K36" s="175"/>
      <c r="L36" s="6"/>
      <c r="N36" s="172" t="s">
        <v>29</v>
      </c>
      <c r="O36" s="173"/>
      <c r="P36" s="173"/>
      <c r="Q36" s="173"/>
      <c r="R36" s="173"/>
      <c r="S36" s="165"/>
      <c r="T36" s="166"/>
      <c r="U36" s="174"/>
      <c r="V36" s="175"/>
      <c r="W36" s="4"/>
      <c r="Y36" s="172" t="s">
        <v>29</v>
      </c>
      <c r="Z36" s="173"/>
      <c r="AA36" s="173"/>
      <c r="AB36" s="173"/>
      <c r="AC36" s="173"/>
      <c r="AD36" s="165"/>
      <c r="AE36" s="166"/>
      <c r="AF36" s="174"/>
      <c r="AG36" s="175"/>
      <c r="AH36" s="4"/>
    </row>
    <row r="37" spans="3:34" ht="15.75">
      <c r="C37" s="172" t="s">
        <v>30</v>
      </c>
      <c r="D37" s="173"/>
      <c r="E37" s="173"/>
      <c r="F37" s="173"/>
      <c r="G37" s="173"/>
      <c r="H37" s="165"/>
      <c r="I37" s="166"/>
      <c r="J37" s="174">
        <f>J31*0.15</f>
        <v>3.8624999999999998</v>
      </c>
      <c r="K37" s="175"/>
      <c r="L37" s="6"/>
      <c r="N37" s="172" t="s">
        <v>30</v>
      </c>
      <c r="O37" s="173"/>
      <c r="P37" s="173"/>
      <c r="Q37" s="173"/>
      <c r="R37" s="173"/>
      <c r="S37" s="165"/>
      <c r="T37" s="166"/>
      <c r="U37" s="174">
        <f>U31*0.15</f>
        <v>1.56</v>
      </c>
      <c r="V37" s="175"/>
      <c r="W37" s="4"/>
      <c r="Y37" s="172" t="s">
        <v>30</v>
      </c>
      <c r="Z37" s="173"/>
      <c r="AA37" s="173"/>
      <c r="AB37" s="173"/>
      <c r="AC37" s="173"/>
      <c r="AD37" s="165"/>
      <c r="AE37" s="166"/>
      <c r="AF37" s="174">
        <f>AF31*0.15</f>
        <v>4.9110000000000005</v>
      </c>
      <c r="AG37" s="175"/>
      <c r="AH37" s="4"/>
    </row>
    <row r="38" spans="3:34" ht="15.75">
      <c r="C38" s="172" t="s">
        <v>31</v>
      </c>
      <c r="D38" s="173"/>
      <c r="E38" s="173"/>
      <c r="F38" s="173"/>
      <c r="G38" s="173"/>
      <c r="H38" s="165"/>
      <c r="I38" s="166"/>
      <c r="J38" s="174">
        <f>J31*0.5</f>
        <v>12.875</v>
      </c>
      <c r="K38" s="175"/>
      <c r="L38" s="6"/>
      <c r="N38" s="172" t="s">
        <v>31</v>
      </c>
      <c r="O38" s="173"/>
      <c r="P38" s="173"/>
      <c r="Q38" s="173"/>
      <c r="R38" s="173"/>
      <c r="S38" s="165"/>
      <c r="T38" s="166"/>
      <c r="U38" s="174">
        <f>U31*0.5</f>
        <v>5.2</v>
      </c>
      <c r="V38" s="175"/>
      <c r="W38" s="4"/>
      <c r="Y38" s="172" t="s">
        <v>32</v>
      </c>
      <c r="Z38" s="173"/>
      <c r="AA38" s="173"/>
      <c r="AB38" s="173"/>
      <c r="AC38" s="173"/>
      <c r="AD38" s="165"/>
      <c r="AE38" s="166"/>
      <c r="AF38" s="174">
        <v>13.09</v>
      </c>
      <c r="AG38" s="175"/>
      <c r="AH38" s="4"/>
    </row>
    <row r="39" spans="3:34" ht="15.75">
      <c r="C39" s="172" t="s">
        <v>33</v>
      </c>
      <c r="D39" s="173"/>
      <c r="E39" s="173"/>
      <c r="F39" s="173"/>
      <c r="G39" s="173"/>
      <c r="H39" s="165"/>
      <c r="I39" s="166"/>
      <c r="J39" s="174">
        <f>J31</f>
        <v>25.75</v>
      </c>
      <c r="K39" s="175"/>
      <c r="L39" s="6"/>
      <c r="N39" s="172" t="s">
        <v>33</v>
      </c>
      <c r="O39" s="173"/>
      <c r="P39" s="173"/>
      <c r="Q39" s="173"/>
      <c r="R39" s="173"/>
      <c r="S39" s="165"/>
      <c r="T39" s="166"/>
      <c r="U39" s="174">
        <f>U31</f>
        <v>10.4</v>
      </c>
      <c r="V39" s="175"/>
      <c r="W39" s="4"/>
      <c r="Y39" s="172" t="s">
        <v>33</v>
      </c>
      <c r="Z39" s="173"/>
      <c r="AA39" s="173"/>
      <c r="AB39" s="173"/>
      <c r="AC39" s="173"/>
      <c r="AD39" s="165"/>
      <c r="AE39" s="166"/>
      <c r="AF39" s="174">
        <f>AF31</f>
        <v>32.74</v>
      </c>
      <c r="AG39" s="175"/>
      <c r="AH39" s="4"/>
    </row>
    <row r="40" spans="3:34" ht="15.75">
      <c r="C40" s="172" t="s">
        <v>34</v>
      </c>
      <c r="D40" s="173"/>
      <c r="E40" s="173"/>
      <c r="F40" s="173"/>
      <c r="G40" s="173"/>
      <c r="H40" s="165"/>
      <c r="I40" s="166"/>
      <c r="J40" s="174">
        <f>J31+J37</f>
        <v>29.612500000000001</v>
      </c>
      <c r="K40" s="175"/>
      <c r="L40" s="6"/>
      <c r="N40" s="172" t="s">
        <v>34</v>
      </c>
      <c r="O40" s="173"/>
      <c r="P40" s="173"/>
      <c r="Q40" s="173"/>
      <c r="R40" s="173"/>
      <c r="S40" s="165"/>
      <c r="T40" s="166"/>
      <c r="U40" s="174">
        <f>U31+U37</f>
        <v>11.96</v>
      </c>
      <c r="V40" s="175"/>
      <c r="W40" s="4"/>
      <c r="Y40" s="172" t="s">
        <v>34</v>
      </c>
      <c r="Z40" s="173"/>
      <c r="AA40" s="173"/>
      <c r="AB40" s="173"/>
      <c r="AC40" s="173"/>
      <c r="AD40" s="165"/>
      <c r="AE40" s="166"/>
      <c r="AF40" s="174">
        <f>AF31+AF37</f>
        <v>37.651000000000003</v>
      </c>
      <c r="AG40" s="175"/>
      <c r="AH40" s="4"/>
    </row>
    <row r="41" spans="3:34" ht="15.75">
      <c r="C41" s="172" t="s">
        <v>35</v>
      </c>
      <c r="D41" s="173"/>
      <c r="E41" s="173"/>
      <c r="F41" s="173"/>
      <c r="G41" s="173"/>
      <c r="H41" s="165"/>
      <c r="I41" s="166"/>
      <c r="J41" s="174">
        <f>J31+J38</f>
        <v>38.625</v>
      </c>
      <c r="K41" s="175"/>
      <c r="L41" s="6"/>
      <c r="N41" s="172" t="s">
        <v>35</v>
      </c>
      <c r="O41" s="173"/>
      <c r="P41" s="173"/>
      <c r="Q41" s="173"/>
      <c r="R41" s="173"/>
      <c r="S41" s="165"/>
      <c r="T41" s="166"/>
      <c r="U41" s="174">
        <f>U31+U38</f>
        <v>15.600000000000001</v>
      </c>
      <c r="V41" s="175"/>
      <c r="W41" s="4"/>
      <c r="Y41" s="172" t="s">
        <v>35</v>
      </c>
      <c r="Z41" s="173"/>
      <c r="AA41" s="173"/>
      <c r="AB41" s="173"/>
      <c r="AC41" s="173"/>
      <c r="AD41" s="165"/>
      <c r="AE41" s="166"/>
      <c r="AF41" s="174">
        <f>AF31+AF38</f>
        <v>45.83</v>
      </c>
      <c r="AG41" s="175"/>
      <c r="AH41" s="4"/>
    </row>
    <row r="42" spans="3:34" ht="15.75">
      <c r="C42" s="172" t="s">
        <v>36</v>
      </c>
      <c r="D42" s="173"/>
      <c r="E42" s="173"/>
      <c r="F42" s="173"/>
      <c r="G42" s="173"/>
      <c r="H42" s="165"/>
      <c r="I42" s="166"/>
      <c r="J42" s="167">
        <f>J31*1.2</f>
        <v>30.9</v>
      </c>
      <c r="K42" s="168"/>
      <c r="L42" s="6"/>
      <c r="N42" s="172" t="s">
        <v>36</v>
      </c>
      <c r="O42" s="173"/>
      <c r="P42" s="173"/>
      <c r="Q42" s="173"/>
      <c r="R42" s="173"/>
      <c r="S42" s="165"/>
      <c r="T42" s="166"/>
      <c r="U42" s="167">
        <f>U31*1.2</f>
        <v>12.48</v>
      </c>
      <c r="V42" s="168"/>
      <c r="W42" s="4"/>
      <c r="Y42" s="172" t="s">
        <v>36</v>
      </c>
      <c r="Z42" s="173"/>
      <c r="AA42" s="173"/>
      <c r="AB42" s="173"/>
      <c r="AC42" s="173"/>
      <c r="AD42" s="165"/>
      <c r="AE42" s="166"/>
      <c r="AF42" s="167">
        <f>AF31*1.2</f>
        <v>39.288000000000004</v>
      </c>
      <c r="AG42" s="168"/>
      <c r="AH42" s="4"/>
    </row>
    <row r="43" spans="3:34" ht="15.75">
      <c r="C43" s="172" t="s">
        <v>37</v>
      </c>
      <c r="D43" s="173"/>
      <c r="E43" s="173"/>
      <c r="F43" s="173"/>
      <c r="G43" s="173"/>
      <c r="H43" s="165"/>
      <c r="I43" s="166"/>
      <c r="J43" s="167">
        <v>35.53</v>
      </c>
      <c r="K43" s="168"/>
      <c r="L43" s="6"/>
      <c r="N43" s="172" t="s">
        <v>37</v>
      </c>
      <c r="O43" s="173"/>
      <c r="P43" s="173"/>
      <c r="Q43" s="173"/>
      <c r="R43" s="173"/>
      <c r="S43" s="165"/>
      <c r="T43" s="166"/>
      <c r="U43" s="167">
        <f>U40*1.2</f>
        <v>14.352</v>
      </c>
      <c r="V43" s="168"/>
      <c r="W43" s="4"/>
      <c r="Y43" s="172" t="s">
        <v>37</v>
      </c>
      <c r="Z43" s="173"/>
      <c r="AA43" s="173"/>
      <c r="AB43" s="173"/>
      <c r="AC43" s="173"/>
      <c r="AD43" s="165"/>
      <c r="AE43" s="166"/>
      <c r="AF43" s="167">
        <f>AF40*1.2</f>
        <v>45.181200000000004</v>
      </c>
      <c r="AG43" s="168"/>
      <c r="AH43" s="4"/>
    </row>
    <row r="44" spans="3:34" ht="16.5" thickBot="1">
      <c r="C44" s="169" t="s">
        <v>38</v>
      </c>
      <c r="D44" s="170"/>
      <c r="E44" s="170"/>
      <c r="F44" s="170"/>
      <c r="G44" s="170"/>
      <c r="H44" s="171"/>
      <c r="I44" s="171"/>
      <c r="J44" s="162">
        <v>46.36</v>
      </c>
      <c r="K44" s="163"/>
      <c r="L44" s="6"/>
      <c r="N44" s="169" t="s">
        <v>38</v>
      </c>
      <c r="O44" s="170"/>
      <c r="P44" s="170"/>
      <c r="Q44" s="170"/>
      <c r="R44" s="170"/>
      <c r="S44" s="171"/>
      <c r="T44" s="171"/>
      <c r="U44" s="162">
        <f>U41*1.2</f>
        <v>18.720000000000002</v>
      </c>
      <c r="V44" s="163"/>
      <c r="W44" s="4"/>
      <c r="Y44" s="169" t="s">
        <v>38</v>
      </c>
      <c r="Z44" s="170"/>
      <c r="AA44" s="170"/>
      <c r="AB44" s="170"/>
      <c r="AC44" s="170"/>
      <c r="AD44" s="171"/>
      <c r="AE44" s="171"/>
      <c r="AF44" s="162">
        <f>AF41*1.2</f>
        <v>54.995999999999995</v>
      </c>
      <c r="AG44" s="163"/>
      <c r="AH44" s="4"/>
    </row>
    <row r="45" spans="3:34" ht="15.75">
      <c r="C45" s="7"/>
      <c r="D45" s="7"/>
      <c r="E45" s="7"/>
      <c r="F45" s="7"/>
      <c r="G45" s="7"/>
      <c r="H45" s="8"/>
      <c r="I45" s="8"/>
      <c r="J45" s="9"/>
      <c r="K45" s="9"/>
      <c r="L45" s="6"/>
      <c r="N45" s="7"/>
      <c r="O45" s="7"/>
      <c r="P45" s="7"/>
      <c r="Q45" s="7"/>
      <c r="R45" s="7"/>
      <c r="S45" s="8"/>
      <c r="T45" s="8"/>
      <c r="U45" s="9"/>
      <c r="V45" s="9"/>
      <c r="W45" s="4"/>
      <c r="Y45" s="7"/>
      <c r="Z45" s="7"/>
      <c r="AA45" s="7"/>
      <c r="AB45" s="7"/>
      <c r="AC45" s="7"/>
      <c r="AD45" s="8"/>
      <c r="AE45" s="8"/>
      <c r="AF45" s="9"/>
      <c r="AG45" s="9"/>
      <c r="AH45" s="4"/>
    </row>
    <row r="46" spans="3:34" ht="15.75">
      <c r="C46" s="4"/>
      <c r="D46" s="4"/>
      <c r="E46" s="4"/>
      <c r="F46" s="4"/>
      <c r="G46" s="4"/>
      <c r="H46" s="5"/>
      <c r="I46" s="5"/>
      <c r="J46" s="4"/>
      <c r="K46" s="4"/>
      <c r="L46" s="6"/>
      <c r="N46" s="4"/>
      <c r="O46" s="4"/>
      <c r="P46" s="4"/>
      <c r="Q46" s="4"/>
      <c r="R46" s="4"/>
      <c r="S46" s="5"/>
      <c r="T46" s="5"/>
      <c r="U46" s="4"/>
      <c r="V46" s="4"/>
      <c r="W46" s="4"/>
      <c r="Y46" s="4"/>
      <c r="Z46" s="4"/>
      <c r="AA46" s="4"/>
      <c r="AB46" s="4"/>
      <c r="AC46" s="4"/>
      <c r="AD46" s="5"/>
      <c r="AE46" s="5"/>
      <c r="AF46" s="4"/>
      <c r="AG46" s="4"/>
      <c r="AH46" s="4"/>
    </row>
    <row r="47" spans="3:34" ht="18.75">
      <c r="C47" s="164" t="s">
        <v>39</v>
      </c>
      <c r="D47" s="164"/>
      <c r="E47" s="164"/>
      <c r="F47" s="164"/>
      <c r="G47" s="164"/>
      <c r="H47" s="164"/>
      <c r="I47" s="164"/>
      <c r="J47" s="164"/>
      <c r="K47" s="164"/>
      <c r="L47" s="164"/>
      <c r="N47" s="164" t="s">
        <v>39</v>
      </c>
      <c r="O47" s="164"/>
      <c r="P47" s="164"/>
      <c r="Q47" s="164"/>
      <c r="R47" s="164"/>
      <c r="S47" s="164"/>
      <c r="T47" s="164"/>
      <c r="U47" s="164"/>
      <c r="V47" s="164"/>
      <c r="W47" s="164"/>
      <c r="Y47" s="164" t="s">
        <v>39</v>
      </c>
      <c r="Z47" s="164"/>
      <c r="AA47" s="164"/>
      <c r="AB47" s="164"/>
      <c r="AC47" s="164"/>
      <c r="AD47" s="164"/>
      <c r="AE47" s="164"/>
      <c r="AF47" s="164"/>
      <c r="AG47" s="164"/>
      <c r="AH47" s="164"/>
    </row>
    <row r="48" spans="3:34" ht="15.75">
      <c r="C48" s="4"/>
      <c r="D48" s="4"/>
      <c r="E48" s="4"/>
      <c r="F48" s="4"/>
      <c r="G48" s="4"/>
      <c r="H48" s="5"/>
      <c r="I48" s="5"/>
      <c r="J48" s="4"/>
      <c r="K48" s="4"/>
      <c r="L48" s="6"/>
      <c r="S48" s="10"/>
      <c r="T48" s="10"/>
      <c r="AD48" s="10"/>
      <c r="AE48" s="10"/>
    </row>
    <row r="49" spans="3:31" ht="15.75">
      <c r="C49" s="4"/>
      <c r="D49" s="4"/>
      <c r="E49" s="4"/>
      <c r="F49" s="4"/>
      <c r="G49" s="4"/>
      <c r="H49" s="5"/>
      <c r="I49" s="5"/>
      <c r="J49" s="4"/>
      <c r="K49" s="4"/>
      <c r="L49" s="6"/>
      <c r="S49" s="10"/>
      <c r="T49" s="10"/>
      <c r="AD49" s="10"/>
      <c r="AE49" s="10"/>
    </row>
    <row r="50" spans="3:31" ht="15.75">
      <c r="C50" s="4"/>
      <c r="D50" s="4"/>
      <c r="E50" s="4"/>
      <c r="F50" s="4"/>
      <c r="G50" s="4"/>
      <c r="H50" s="5"/>
      <c r="I50" s="5"/>
      <c r="J50" s="4"/>
      <c r="K50" s="4"/>
      <c r="L50" s="6"/>
      <c r="S50" s="10"/>
      <c r="T50" s="10"/>
      <c r="AD50" s="10"/>
      <c r="AE50" s="10"/>
    </row>
  </sheetData>
  <mergeCells count="348">
    <mergeCell ref="D2:K2"/>
    <mergeCell ref="O2:V2"/>
    <mergeCell ref="Z2:AG2"/>
    <mergeCell ref="D3:K3"/>
    <mergeCell ref="O3:V3"/>
    <mergeCell ref="Z3:AG3"/>
    <mergeCell ref="B4:L4"/>
    <mergeCell ref="M4:W4"/>
    <mergeCell ref="X4:AH4"/>
    <mergeCell ref="C6:G8"/>
    <mergeCell ref="H6:K7"/>
    <mergeCell ref="N6:R8"/>
    <mergeCell ref="S6:V7"/>
    <mergeCell ref="Y6:AC8"/>
    <mergeCell ref="AD6:AG7"/>
    <mergeCell ref="H8:I8"/>
    <mergeCell ref="J8:K8"/>
    <mergeCell ref="S8:T8"/>
    <mergeCell ref="U8:V8"/>
    <mergeCell ref="AD8:AE8"/>
    <mergeCell ref="AF8:AG8"/>
    <mergeCell ref="C9:G9"/>
    <mergeCell ref="H9:I9"/>
    <mergeCell ref="J9:K9"/>
    <mergeCell ref="N9:R9"/>
    <mergeCell ref="S9:T9"/>
    <mergeCell ref="U9:V9"/>
    <mergeCell ref="Y9:AC9"/>
    <mergeCell ref="AD9:AE9"/>
    <mergeCell ref="AF9:AG9"/>
    <mergeCell ref="C10:G10"/>
    <mergeCell ref="H10:I10"/>
    <mergeCell ref="J10:K10"/>
    <mergeCell ref="N10:R10"/>
    <mergeCell ref="S10:T10"/>
    <mergeCell ref="U10:V10"/>
    <mergeCell ref="Y10:AC10"/>
    <mergeCell ref="AD10:AE10"/>
    <mergeCell ref="AF10:AG10"/>
    <mergeCell ref="C11:G11"/>
    <mergeCell ref="H11:I11"/>
    <mergeCell ref="J11:K11"/>
    <mergeCell ref="N11:R11"/>
    <mergeCell ref="S11:T11"/>
    <mergeCell ref="U11:V11"/>
    <mergeCell ref="Y11:AC11"/>
    <mergeCell ref="AD11:AE11"/>
    <mergeCell ref="AF11:AG11"/>
    <mergeCell ref="C12:G12"/>
    <mergeCell ref="H12:I12"/>
    <mergeCell ref="J12:K12"/>
    <mergeCell ref="N12:R12"/>
    <mergeCell ref="S12:T12"/>
    <mergeCell ref="U12:V12"/>
    <mergeCell ref="Y12:AC12"/>
    <mergeCell ref="AD12:AE12"/>
    <mergeCell ref="AF12:AG12"/>
    <mergeCell ref="C13:G13"/>
    <mergeCell ref="H13:I13"/>
    <mergeCell ref="J13:K13"/>
    <mergeCell ref="N13:R13"/>
    <mergeCell ref="S13:T13"/>
    <mergeCell ref="U13:V13"/>
    <mergeCell ref="Y13:AC13"/>
    <mergeCell ref="AD13:AE13"/>
    <mergeCell ref="AF13:AG13"/>
    <mergeCell ref="Y14:AC14"/>
    <mergeCell ref="AD14:AE14"/>
    <mergeCell ref="AF14:AG14"/>
    <mergeCell ref="C15:G15"/>
    <mergeCell ref="H15:I15"/>
    <mergeCell ref="J15:K15"/>
    <mergeCell ref="N15:R15"/>
    <mergeCell ref="S15:T15"/>
    <mergeCell ref="U15:V15"/>
    <mergeCell ref="Y15:AC15"/>
    <mergeCell ref="C14:G14"/>
    <mergeCell ref="H14:I14"/>
    <mergeCell ref="J14:K14"/>
    <mergeCell ref="N14:R14"/>
    <mergeCell ref="S14:T14"/>
    <mergeCell ref="U14:V14"/>
    <mergeCell ref="AD15:AE15"/>
    <mergeCell ref="AF15:AG15"/>
    <mergeCell ref="C16:G16"/>
    <mergeCell ref="H16:I16"/>
    <mergeCell ref="J16:K16"/>
    <mergeCell ref="N16:R16"/>
    <mergeCell ref="S16:T16"/>
    <mergeCell ref="U16:V16"/>
    <mergeCell ref="Y16:AC16"/>
    <mergeCell ref="AD16:AE16"/>
    <mergeCell ref="AF16:AG16"/>
    <mergeCell ref="C17:G17"/>
    <mergeCell ref="H17:I17"/>
    <mergeCell ref="J17:K17"/>
    <mergeCell ref="N17:R17"/>
    <mergeCell ref="S17:T17"/>
    <mergeCell ref="U17:V17"/>
    <mergeCell ref="Y17:AC17"/>
    <mergeCell ref="AD17:AE17"/>
    <mergeCell ref="AF17:AG17"/>
    <mergeCell ref="Y18:AC18"/>
    <mergeCell ref="AD18:AE18"/>
    <mergeCell ref="AF18:AG18"/>
    <mergeCell ref="C19:G19"/>
    <mergeCell ref="H19:I19"/>
    <mergeCell ref="J19:K19"/>
    <mergeCell ref="N19:R19"/>
    <mergeCell ref="S19:T19"/>
    <mergeCell ref="U19:V19"/>
    <mergeCell ref="Y19:AC19"/>
    <mergeCell ref="C18:G18"/>
    <mergeCell ref="H18:I18"/>
    <mergeCell ref="J18:K18"/>
    <mergeCell ref="N18:R18"/>
    <mergeCell ref="S18:T18"/>
    <mergeCell ref="U18:V18"/>
    <mergeCell ref="AD19:AE19"/>
    <mergeCell ref="AF19:AG19"/>
    <mergeCell ref="C20:G20"/>
    <mergeCell ref="H20:I20"/>
    <mergeCell ref="J20:K20"/>
    <mergeCell ref="N20:R20"/>
    <mergeCell ref="S20:T20"/>
    <mergeCell ref="U20:V20"/>
    <mergeCell ref="Y20:AC20"/>
    <mergeCell ref="AD20:AE20"/>
    <mergeCell ref="AF20:AG20"/>
    <mergeCell ref="C21:G21"/>
    <mergeCell ref="H21:I21"/>
    <mergeCell ref="J21:K21"/>
    <mergeCell ref="N21:R21"/>
    <mergeCell ref="S21:T21"/>
    <mergeCell ref="U21:V21"/>
    <mergeCell ref="Y21:AC21"/>
    <mergeCell ref="AD21:AE21"/>
    <mergeCell ref="AF21:AG21"/>
    <mergeCell ref="Y22:AC22"/>
    <mergeCell ref="AD22:AE22"/>
    <mergeCell ref="AF22:AG22"/>
    <mergeCell ref="C23:G23"/>
    <mergeCell ref="H23:I23"/>
    <mergeCell ref="J23:K23"/>
    <mergeCell ref="N23:R23"/>
    <mergeCell ref="S23:T23"/>
    <mergeCell ref="U23:V23"/>
    <mergeCell ref="Y23:AC23"/>
    <mergeCell ref="C22:G22"/>
    <mergeCell ref="H22:I22"/>
    <mergeCell ref="J22:K22"/>
    <mergeCell ref="N22:R22"/>
    <mergeCell ref="S22:T22"/>
    <mergeCell ref="U22:V22"/>
    <mergeCell ref="AD23:AE23"/>
    <mergeCell ref="AF23:AG23"/>
    <mergeCell ref="C24:G24"/>
    <mergeCell ref="H24:I24"/>
    <mergeCell ref="J24:K24"/>
    <mergeCell ref="N24:R24"/>
    <mergeCell ref="S24:T24"/>
    <mergeCell ref="U24:V24"/>
    <mergeCell ref="Y24:AC24"/>
    <mergeCell ref="AD24:AE24"/>
    <mergeCell ref="AF24:AG24"/>
    <mergeCell ref="C25:G25"/>
    <mergeCell ref="H25:I25"/>
    <mergeCell ref="J25:K25"/>
    <mergeCell ref="N25:R25"/>
    <mergeCell ref="S25:T25"/>
    <mergeCell ref="U25:V25"/>
    <mergeCell ref="Y25:AC25"/>
    <mergeCell ref="AD25:AE25"/>
    <mergeCell ref="AF25:AG25"/>
    <mergeCell ref="Y26:AC26"/>
    <mergeCell ref="AD26:AE26"/>
    <mergeCell ref="AF26:AG26"/>
    <mergeCell ref="C27:G27"/>
    <mergeCell ref="H27:I27"/>
    <mergeCell ref="J27:K27"/>
    <mergeCell ref="N27:R27"/>
    <mergeCell ref="S27:T27"/>
    <mergeCell ref="U27:V27"/>
    <mergeCell ref="Y27:AC27"/>
    <mergeCell ref="C26:G26"/>
    <mergeCell ref="H26:I26"/>
    <mergeCell ref="J26:K26"/>
    <mergeCell ref="N26:R26"/>
    <mergeCell ref="S26:T26"/>
    <mergeCell ref="U26:V26"/>
    <mergeCell ref="AD27:AE27"/>
    <mergeCell ref="AF27:AG27"/>
    <mergeCell ref="C28:G28"/>
    <mergeCell ref="H28:I28"/>
    <mergeCell ref="J28:K28"/>
    <mergeCell ref="N28:R28"/>
    <mergeCell ref="S28:T28"/>
    <mergeCell ref="U28:V28"/>
    <mergeCell ref="Y28:AC28"/>
    <mergeCell ref="AD28:AE28"/>
    <mergeCell ref="AF28:AG28"/>
    <mergeCell ref="C29:G29"/>
    <mergeCell ref="H29:I29"/>
    <mergeCell ref="J29:K29"/>
    <mergeCell ref="N29:R29"/>
    <mergeCell ref="S29:T29"/>
    <mergeCell ref="U29:V29"/>
    <mergeCell ref="Y29:AC29"/>
    <mergeCell ref="AD29:AE29"/>
    <mergeCell ref="AF29:AG29"/>
    <mergeCell ref="Y30:AC30"/>
    <mergeCell ref="AD30:AE30"/>
    <mergeCell ref="AF30:AG30"/>
    <mergeCell ref="C31:G31"/>
    <mergeCell ref="H31:I31"/>
    <mergeCell ref="J31:K31"/>
    <mergeCell ref="N31:R31"/>
    <mergeCell ref="S31:T31"/>
    <mergeCell ref="U31:V31"/>
    <mergeCell ref="Y31:AC31"/>
    <mergeCell ref="C30:G30"/>
    <mergeCell ref="H30:I30"/>
    <mergeCell ref="J30:K30"/>
    <mergeCell ref="N30:R30"/>
    <mergeCell ref="S30:T30"/>
    <mergeCell ref="U30:V30"/>
    <mergeCell ref="AD31:AE31"/>
    <mergeCell ref="AF31:AG31"/>
    <mergeCell ref="C32:G32"/>
    <mergeCell ref="H32:I32"/>
    <mergeCell ref="J32:K32"/>
    <mergeCell ref="N32:R32"/>
    <mergeCell ref="S32:T32"/>
    <mergeCell ref="U32:V32"/>
    <mergeCell ref="Y32:AC32"/>
    <mergeCell ref="AD32:AE32"/>
    <mergeCell ref="AF32:AG32"/>
    <mergeCell ref="C33:G33"/>
    <mergeCell ref="H33:I33"/>
    <mergeCell ref="J33:K33"/>
    <mergeCell ref="N33:R33"/>
    <mergeCell ref="S33:T33"/>
    <mergeCell ref="U33:V33"/>
    <mergeCell ref="Y33:AC33"/>
    <mergeCell ref="AD33:AE33"/>
    <mergeCell ref="AF33:AG33"/>
    <mergeCell ref="Y34:AC34"/>
    <mergeCell ref="AD34:AE34"/>
    <mergeCell ref="AF34:AG34"/>
    <mergeCell ref="C35:G35"/>
    <mergeCell ref="H35:I35"/>
    <mergeCell ref="J35:K35"/>
    <mergeCell ref="N35:R35"/>
    <mergeCell ref="S35:T35"/>
    <mergeCell ref="U35:V35"/>
    <mergeCell ref="Y35:AC35"/>
    <mergeCell ref="C34:G34"/>
    <mergeCell ref="H34:I34"/>
    <mergeCell ref="J34:K34"/>
    <mergeCell ref="N34:R34"/>
    <mergeCell ref="S34:T34"/>
    <mergeCell ref="U34:V34"/>
    <mergeCell ref="AD35:AE35"/>
    <mergeCell ref="AF35:AG35"/>
    <mergeCell ref="C36:G36"/>
    <mergeCell ref="H36:I36"/>
    <mergeCell ref="J36:K36"/>
    <mergeCell ref="N36:R36"/>
    <mergeCell ref="S36:T36"/>
    <mergeCell ref="U36:V36"/>
    <mergeCell ref="Y36:AC36"/>
    <mergeCell ref="AD36:AE36"/>
    <mergeCell ref="AF36:AG36"/>
    <mergeCell ref="C37:G37"/>
    <mergeCell ref="H37:I37"/>
    <mergeCell ref="J37:K37"/>
    <mergeCell ref="N37:R37"/>
    <mergeCell ref="S37:T37"/>
    <mergeCell ref="U37:V37"/>
    <mergeCell ref="Y37:AC37"/>
    <mergeCell ref="AD37:AE37"/>
    <mergeCell ref="AF37:AG37"/>
    <mergeCell ref="Y38:AC38"/>
    <mergeCell ref="AD38:AE38"/>
    <mergeCell ref="AF38:AG38"/>
    <mergeCell ref="C39:G39"/>
    <mergeCell ref="H39:I39"/>
    <mergeCell ref="J39:K39"/>
    <mergeCell ref="N39:R39"/>
    <mergeCell ref="S39:T39"/>
    <mergeCell ref="U39:V39"/>
    <mergeCell ref="Y39:AC39"/>
    <mergeCell ref="C38:G38"/>
    <mergeCell ref="H38:I38"/>
    <mergeCell ref="J38:K38"/>
    <mergeCell ref="N38:R38"/>
    <mergeCell ref="S38:T38"/>
    <mergeCell ref="U38:V38"/>
    <mergeCell ref="AD39:AE39"/>
    <mergeCell ref="AF39:AG39"/>
    <mergeCell ref="C40:G40"/>
    <mergeCell ref="H40:I40"/>
    <mergeCell ref="J40:K40"/>
    <mergeCell ref="N40:R40"/>
    <mergeCell ref="S40:T40"/>
    <mergeCell ref="U40:V40"/>
    <mergeCell ref="Y40:AC40"/>
    <mergeCell ref="AD40:AE40"/>
    <mergeCell ref="AF40:AG40"/>
    <mergeCell ref="C41:G41"/>
    <mergeCell ref="H41:I41"/>
    <mergeCell ref="J41:K41"/>
    <mergeCell ref="N41:R41"/>
    <mergeCell ref="S41:T41"/>
    <mergeCell ref="U41:V41"/>
    <mergeCell ref="Y41:AC41"/>
    <mergeCell ref="AD41:AE41"/>
    <mergeCell ref="AF41:AG41"/>
    <mergeCell ref="Y42:AC42"/>
    <mergeCell ref="AD42:AE42"/>
    <mergeCell ref="AF42:AG42"/>
    <mergeCell ref="C43:G43"/>
    <mergeCell ref="H43:I43"/>
    <mergeCell ref="J43:K43"/>
    <mergeCell ref="N43:R43"/>
    <mergeCell ref="S43:T43"/>
    <mergeCell ref="U43:V43"/>
    <mergeCell ref="Y43:AC43"/>
    <mergeCell ref="C42:G42"/>
    <mergeCell ref="H42:I42"/>
    <mergeCell ref="J42:K42"/>
    <mergeCell ref="N42:R42"/>
    <mergeCell ref="S42:T42"/>
    <mergeCell ref="U42:V42"/>
    <mergeCell ref="AF44:AG44"/>
    <mergeCell ref="C47:L47"/>
    <mergeCell ref="N47:W47"/>
    <mergeCell ref="Y47:AH47"/>
    <mergeCell ref="AD43:AE43"/>
    <mergeCell ref="AF43:AG43"/>
    <mergeCell ref="C44:G44"/>
    <mergeCell ref="H44:I44"/>
    <mergeCell ref="J44:K44"/>
    <mergeCell ref="N44:R44"/>
    <mergeCell ref="S44:T44"/>
    <mergeCell ref="U44:V44"/>
    <mergeCell ref="Y44:AC44"/>
    <mergeCell ref="AD44:AE4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9"/>
  <sheetViews>
    <sheetView topLeftCell="A7" workbookViewId="0">
      <selection sqref="A1:AQ50"/>
    </sheetView>
  </sheetViews>
  <sheetFormatPr defaultRowHeight="15"/>
  <cols>
    <col min="1" max="1" width="8.42578125" customWidth="1"/>
    <col min="5" max="5" width="3" customWidth="1"/>
    <col min="6" max="6" width="12.140625" customWidth="1"/>
    <col min="7" max="7" width="6.42578125" customWidth="1"/>
    <col min="8" max="8" width="3.42578125" customWidth="1"/>
    <col min="9" max="9" width="4.7109375" customWidth="1"/>
    <col min="10" max="10" width="5.85546875" customWidth="1"/>
    <col min="11" max="11" width="5.5703125" hidden="1" customWidth="1"/>
    <col min="12" max="13" width="12" customWidth="1"/>
    <col min="16" max="16" width="17.42578125" customWidth="1"/>
    <col min="17" max="17" width="9.140625" hidden="1" customWidth="1"/>
    <col min="18" max="18" width="2.7109375" customWidth="1"/>
    <col min="19" max="19" width="7.85546875" customWidth="1"/>
    <col min="20" max="20" width="6.5703125" customWidth="1"/>
    <col min="21" max="21" width="4.42578125" customWidth="1"/>
    <col min="22" max="22" width="10.42578125" customWidth="1"/>
    <col min="23" max="23" width="5" hidden="1" customWidth="1"/>
    <col min="24" max="24" width="10.85546875" style="17" customWidth="1"/>
    <col min="25" max="25" width="11.5703125" customWidth="1"/>
    <col min="26" max="26" width="11.140625" customWidth="1"/>
    <col min="29" max="29" width="8" customWidth="1"/>
    <col min="30" max="30" width="9.140625" hidden="1" customWidth="1"/>
    <col min="31" max="31" width="14.5703125" customWidth="1"/>
    <col min="32" max="32" width="8.140625" customWidth="1"/>
    <col min="33" max="33" width="7.140625" customWidth="1"/>
    <col min="34" max="34" width="15" customWidth="1"/>
    <col min="35" max="35" width="8.7109375" customWidth="1"/>
    <col min="36" max="36" width="8.28515625" customWidth="1"/>
    <col min="37" max="37" width="13.7109375" hidden="1" customWidth="1"/>
    <col min="38" max="38" width="11.140625" hidden="1" customWidth="1"/>
    <col min="39" max="39" width="6.85546875" hidden="1" customWidth="1"/>
    <col min="40" max="41" width="0" hidden="1" customWidth="1"/>
  </cols>
  <sheetData>
    <row r="1" spans="1:47" ht="8.25" customHeight="1">
      <c r="B1" s="1"/>
      <c r="C1" s="1"/>
      <c r="D1" s="1"/>
      <c r="E1" s="1"/>
      <c r="F1" s="1"/>
      <c r="G1" s="2"/>
      <c r="H1" s="2"/>
      <c r="I1" s="1"/>
      <c r="J1" s="1"/>
      <c r="K1" s="3"/>
      <c r="N1" s="1"/>
      <c r="O1" s="1"/>
      <c r="P1" s="1"/>
      <c r="Q1" s="1"/>
      <c r="R1" s="1"/>
      <c r="S1" s="2"/>
      <c r="T1" s="2"/>
      <c r="U1" s="1"/>
      <c r="V1" s="1"/>
      <c r="W1" s="1"/>
      <c r="X1" s="3"/>
      <c r="AA1" s="1"/>
      <c r="AB1" s="1"/>
      <c r="AC1" s="1"/>
      <c r="AD1" s="1"/>
      <c r="AE1" s="1"/>
      <c r="AF1" s="2"/>
      <c r="AG1" s="2"/>
      <c r="AH1" s="1"/>
      <c r="AI1" s="1"/>
      <c r="AJ1" s="1"/>
    </row>
    <row r="2" spans="1:47" ht="18.75">
      <c r="A2" s="24"/>
      <c r="B2" s="25"/>
      <c r="C2" s="208" t="s">
        <v>0</v>
      </c>
      <c r="D2" s="208"/>
      <c r="E2" s="208"/>
      <c r="F2" s="208"/>
      <c r="G2" s="208"/>
      <c r="H2" s="208"/>
      <c r="I2" s="208"/>
      <c r="J2" s="208"/>
      <c r="K2" s="26"/>
      <c r="L2" s="21"/>
      <c r="M2" s="21"/>
      <c r="N2" s="22"/>
      <c r="O2" s="208" t="s">
        <v>0</v>
      </c>
      <c r="P2" s="208"/>
      <c r="Q2" s="208"/>
      <c r="R2" s="208"/>
      <c r="S2" s="208"/>
      <c r="T2" s="208"/>
      <c r="U2" s="208"/>
      <c r="V2" s="208"/>
      <c r="W2" s="22"/>
      <c r="X2" s="23"/>
      <c r="Y2" s="21"/>
      <c r="Z2" s="21"/>
      <c r="AA2" s="22"/>
      <c r="AB2" s="208" t="s">
        <v>0</v>
      </c>
      <c r="AC2" s="208"/>
      <c r="AD2" s="208"/>
      <c r="AE2" s="208"/>
      <c r="AF2" s="208"/>
      <c r="AG2" s="208"/>
      <c r="AH2" s="208"/>
      <c r="AI2" s="27"/>
      <c r="AJ2" s="1"/>
    </row>
    <row r="3" spans="1:47" ht="18" customHeight="1">
      <c r="A3" s="208" t="s">
        <v>47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4"/>
      <c r="M3" s="24"/>
      <c r="N3" s="25"/>
      <c r="O3" s="208" t="s">
        <v>45</v>
      </c>
      <c r="P3" s="208"/>
      <c r="Q3" s="208"/>
      <c r="R3" s="208"/>
      <c r="S3" s="208"/>
      <c r="T3" s="208"/>
      <c r="U3" s="208"/>
      <c r="V3" s="208"/>
      <c r="W3" s="25"/>
      <c r="X3" s="26"/>
      <c r="Y3" s="24"/>
      <c r="Z3" s="24"/>
      <c r="AA3" s="25"/>
      <c r="AB3" s="208" t="s">
        <v>3</v>
      </c>
      <c r="AC3" s="208"/>
      <c r="AD3" s="208"/>
      <c r="AE3" s="208"/>
      <c r="AF3" s="208"/>
      <c r="AG3" s="208"/>
      <c r="AH3" s="208"/>
      <c r="AI3" s="27"/>
      <c r="AJ3" s="4"/>
    </row>
    <row r="4" spans="1:47" ht="36" customHeight="1">
      <c r="A4" s="27"/>
      <c r="B4" s="210" t="s">
        <v>44</v>
      </c>
      <c r="C4" s="210"/>
      <c r="D4" s="210"/>
      <c r="E4" s="210"/>
      <c r="F4" s="210"/>
      <c r="G4" s="210"/>
      <c r="H4" s="210"/>
      <c r="I4" s="210"/>
      <c r="J4" s="210"/>
      <c r="K4" s="33"/>
      <c r="L4" s="30"/>
      <c r="M4" s="30"/>
      <c r="N4" s="210" t="s">
        <v>46</v>
      </c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31"/>
      <c r="Z4" s="31"/>
      <c r="AA4" s="210" t="s">
        <v>5</v>
      </c>
      <c r="AB4" s="210"/>
      <c r="AC4" s="210"/>
      <c r="AD4" s="210"/>
      <c r="AE4" s="210"/>
      <c r="AF4" s="210"/>
      <c r="AG4" s="210"/>
      <c r="AH4" s="210"/>
      <c r="AI4" s="30"/>
      <c r="AJ4" s="30"/>
      <c r="AK4" s="30"/>
      <c r="AL4" s="32"/>
      <c r="AM4" s="32"/>
      <c r="AN4" s="32"/>
      <c r="AO4" s="32"/>
      <c r="AP4" s="32"/>
      <c r="AQ4" s="32"/>
      <c r="AR4" s="32"/>
      <c r="AS4" s="32"/>
      <c r="AT4" s="32"/>
      <c r="AU4" s="32"/>
    </row>
    <row r="5" spans="1:47" ht="12" customHeight="1" thickBot="1">
      <c r="B5" s="4"/>
      <c r="C5" s="4"/>
      <c r="D5" s="4"/>
      <c r="E5" s="4"/>
      <c r="F5" s="4"/>
      <c r="G5" s="5"/>
      <c r="H5" s="5"/>
      <c r="I5" s="4"/>
      <c r="J5" s="4"/>
      <c r="K5" s="6"/>
      <c r="N5" s="4"/>
      <c r="O5" s="4"/>
      <c r="P5" s="4"/>
      <c r="Q5" s="4"/>
      <c r="R5" s="4"/>
      <c r="S5" s="5"/>
      <c r="T5" s="5"/>
      <c r="U5" s="4"/>
      <c r="V5" s="4"/>
      <c r="W5" s="4"/>
      <c r="X5" s="6"/>
      <c r="AA5" s="4"/>
      <c r="AB5" s="4"/>
      <c r="AC5" s="4"/>
      <c r="AD5" s="4"/>
      <c r="AE5" s="4"/>
      <c r="AF5" s="5"/>
      <c r="AG5" s="5"/>
      <c r="AH5" s="4"/>
      <c r="AI5" s="4"/>
      <c r="AJ5" s="4"/>
    </row>
    <row r="6" spans="1:47" ht="18.75">
      <c r="B6" s="192" t="s">
        <v>6</v>
      </c>
      <c r="C6" s="193"/>
      <c r="D6" s="193"/>
      <c r="E6" s="193"/>
      <c r="F6" s="194"/>
      <c r="G6" s="198" t="s">
        <v>7</v>
      </c>
      <c r="H6" s="199"/>
      <c r="I6" s="199"/>
      <c r="J6" s="200"/>
      <c r="K6" s="6"/>
      <c r="N6" s="192" t="s">
        <v>6</v>
      </c>
      <c r="O6" s="193"/>
      <c r="P6" s="193"/>
      <c r="Q6" s="193"/>
      <c r="R6" s="194"/>
      <c r="S6" s="198" t="s">
        <v>7</v>
      </c>
      <c r="T6" s="199"/>
      <c r="U6" s="199"/>
      <c r="V6" s="200"/>
      <c r="W6" s="4"/>
      <c r="X6" s="6"/>
      <c r="AA6" s="192" t="s">
        <v>6</v>
      </c>
      <c r="AB6" s="193"/>
      <c r="AC6" s="193"/>
      <c r="AD6" s="193"/>
      <c r="AE6" s="194"/>
      <c r="AF6" s="198" t="s">
        <v>7</v>
      </c>
      <c r="AG6" s="199"/>
      <c r="AH6" s="200"/>
      <c r="AI6" s="36"/>
      <c r="AJ6" s="4"/>
    </row>
    <row r="7" spans="1:47" ht="9" customHeight="1">
      <c r="B7" s="195"/>
      <c r="C7" s="196"/>
      <c r="D7" s="196"/>
      <c r="E7" s="196"/>
      <c r="F7" s="197"/>
      <c r="G7" s="201"/>
      <c r="H7" s="202"/>
      <c r="I7" s="202"/>
      <c r="J7" s="203"/>
      <c r="K7" s="6"/>
      <c r="N7" s="195"/>
      <c r="O7" s="196"/>
      <c r="P7" s="196"/>
      <c r="Q7" s="196"/>
      <c r="R7" s="197"/>
      <c r="S7" s="201"/>
      <c r="T7" s="202"/>
      <c r="U7" s="202"/>
      <c r="V7" s="203"/>
      <c r="W7" s="4"/>
      <c r="X7" s="6"/>
      <c r="AA7" s="195"/>
      <c r="AB7" s="196"/>
      <c r="AC7" s="196"/>
      <c r="AD7" s="196"/>
      <c r="AE7" s="197"/>
      <c r="AF7" s="201"/>
      <c r="AG7" s="202"/>
      <c r="AH7" s="203"/>
      <c r="AI7" s="36"/>
      <c r="AJ7" s="4"/>
    </row>
    <row r="8" spans="1:47" ht="22.5" customHeight="1">
      <c r="B8" s="195"/>
      <c r="C8" s="196"/>
      <c r="D8" s="196"/>
      <c r="E8" s="196"/>
      <c r="F8" s="197"/>
      <c r="G8" s="204" t="s">
        <v>8</v>
      </c>
      <c r="H8" s="205"/>
      <c r="I8" s="206" t="s">
        <v>9</v>
      </c>
      <c r="J8" s="207"/>
      <c r="K8" s="6"/>
      <c r="N8" s="195"/>
      <c r="O8" s="196"/>
      <c r="P8" s="196"/>
      <c r="Q8" s="196"/>
      <c r="R8" s="197"/>
      <c r="S8" s="204" t="s">
        <v>8</v>
      </c>
      <c r="T8" s="205"/>
      <c r="U8" s="206" t="s">
        <v>9</v>
      </c>
      <c r="V8" s="207"/>
      <c r="W8" s="4"/>
      <c r="X8" s="6"/>
      <c r="AA8" s="195"/>
      <c r="AB8" s="196"/>
      <c r="AC8" s="196"/>
      <c r="AD8" s="196"/>
      <c r="AE8" s="197"/>
      <c r="AF8" s="204" t="s">
        <v>8</v>
      </c>
      <c r="AG8" s="205"/>
      <c r="AH8" s="40" t="s">
        <v>9</v>
      </c>
      <c r="AI8" s="37"/>
      <c r="AJ8" s="4"/>
    </row>
    <row r="9" spans="1:47" ht="15.75">
      <c r="B9" s="182" t="s">
        <v>10</v>
      </c>
      <c r="C9" s="183"/>
      <c r="D9" s="183"/>
      <c r="E9" s="183"/>
      <c r="F9" s="183"/>
      <c r="G9" s="176">
        <f>G10+G17</f>
        <v>1875.7850478254443</v>
      </c>
      <c r="H9" s="177"/>
      <c r="I9" s="167">
        <f>I10+I17</f>
        <v>16.311465116401287</v>
      </c>
      <c r="J9" s="168"/>
      <c r="K9" s="6"/>
      <c r="N9" s="182" t="s">
        <v>10</v>
      </c>
      <c r="O9" s="183"/>
      <c r="P9" s="183"/>
      <c r="Q9" s="183"/>
      <c r="R9" s="183"/>
      <c r="S9" s="176">
        <f>S10+S17</f>
        <v>2556.120745347202</v>
      </c>
      <c r="T9" s="177"/>
      <c r="U9" s="167">
        <f>S9/S32</f>
        <v>8.5204024844906741</v>
      </c>
      <c r="V9" s="168"/>
      <c r="W9" s="4"/>
      <c r="X9" s="6"/>
      <c r="Y9" s="10">
        <f>G9+S9+AF9</f>
        <v>4991.3779999999997</v>
      </c>
      <c r="Z9" s="10"/>
      <c r="AA9" s="182" t="s">
        <v>10</v>
      </c>
      <c r="AB9" s="183"/>
      <c r="AC9" s="183"/>
      <c r="AD9" s="183"/>
      <c r="AE9" s="183"/>
      <c r="AF9" s="176">
        <f>AF10+AF17</f>
        <v>559.47220682735338</v>
      </c>
      <c r="AG9" s="177"/>
      <c r="AH9" s="41">
        <f>AH10+AH17</f>
        <v>23.910512820512821</v>
      </c>
      <c r="AI9" s="9"/>
      <c r="AJ9" s="5">
        <f>G9+S9+AF9</f>
        <v>4991.3779999999997</v>
      </c>
      <c r="AK9" s="18">
        <f>G9+S9+AF9</f>
        <v>4991.3779999999997</v>
      </c>
    </row>
    <row r="10" spans="1:47" ht="15.75">
      <c r="B10" s="190" t="s">
        <v>11</v>
      </c>
      <c r="C10" s="191"/>
      <c r="D10" s="191"/>
      <c r="E10" s="191"/>
      <c r="F10" s="191"/>
      <c r="G10" s="176">
        <f>G11+G12+G13+G14+G15+G16</f>
        <v>1672.7</v>
      </c>
      <c r="H10" s="177"/>
      <c r="I10" s="167">
        <f>I11+I12+I13+I14+I15+I16</f>
        <v>14.54</v>
      </c>
      <c r="J10" s="168"/>
      <c r="K10" s="6"/>
      <c r="N10" s="190" t="s">
        <v>11</v>
      </c>
      <c r="O10" s="191"/>
      <c r="P10" s="191"/>
      <c r="Q10" s="191"/>
      <c r="R10" s="191"/>
      <c r="S10" s="176">
        <f>S11+S12+S13+S14+S15+S16</f>
        <v>2279.3779999999997</v>
      </c>
      <c r="T10" s="177"/>
      <c r="U10" s="167">
        <f>S10/S32</f>
        <v>7.5979266666666661</v>
      </c>
      <c r="V10" s="168"/>
      <c r="W10" s="4"/>
      <c r="X10" s="6"/>
      <c r="Y10" s="10">
        <f>G10+S10+AF10</f>
        <v>4450.9779999999992</v>
      </c>
      <c r="Z10" s="10"/>
      <c r="AA10" s="190" t="s">
        <v>11</v>
      </c>
      <c r="AB10" s="191"/>
      <c r="AC10" s="191"/>
      <c r="AD10" s="191"/>
      <c r="AE10" s="191"/>
      <c r="AF10" s="176">
        <f>AF11+AF12+AF13+AF14+AF15+AF16</f>
        <v>498.9</v>
      </c>
      <c r="AG10" s="177"/>
      <c r="AH10" s="41">
        <f>AF10/23.4</f>
        <v>21.320512820512821</v>
      </c>
      <c r="AI10" s="9"/>
      <c r="AJ10" s="5">
        <f>G10+S10+AF10</f>
        <v>4450.9779999999992</v>
      </c>
      <c r="AK10" s="18">
        <f>G10+S10+AF10</f>
        <v>4450.9779999999992</v>
      </c>
    </row>
    <row r="11" spans="1:47" ht="15.75">
      <c r="B11" s="172" t="s">
        <v>12</v>
      </c>
      <c r="C11" s="173"/>
      <c r="D11" s="173"/>
      <c r="E11" s="173"/>
      <c r="F11" s="173"/>
      <c r="G11" s="165">
        <v>122.7</v>
      </c>
      <c r="H11" s="166"/>
      <c r="I11" s="174">
        <f>G11/G32</f>
        <v>1.0669565217391304</v>
      </c>
      <c r="J11" s="175"/>
      <c r="K11" s="6">
        <f>I11/I42*100</f>
        <v>4.2501454817524307</v>
      </c>
      <c r="N11" s="172" t="s">
        <v>12</v>
      </c>
      <c r="O11" s="173"/>
      <c r="P11" s="173"/>
      <c r="Q11" s="173"/>
      <c r="R11" s="173"/>
      <c r="S11" s="165">
        <v>680.1</v>
      </c>
      <c r="T11" s="166"/>
      <c r="U11" s="174">
        <v>2.27</v>
      </c>
      <c r="V11" s="175"/>
      <c r="W11" s="4"/>
      <c r="X11" s="6"/>
      <c r="AA11" s="172" t="s">
        <v>12</v>
      </c>
      <c r="AB11" s="173"/>
      <c r="AC11" s="173"/>
      <c r="AD11" s="173"/>
      <c r="AE11" s="173"/>
      <c r="AF11" s="165">
        <v>19.899999999999999</v>
      </c>
      <c r="AG11" s="166"/>
      <c r="AH11" s="42">
        <f>AF11/23.4</f>
        <v>0.8504273504273504</v>
      </c>
      <c r="AI11" s="38"/>
      <c r="AJ11" s="4"/>
    </row>
    <row r="12" spans="1:47" ht="15.75">
      <c r="B12" s="172" t="s">
        <v>13</v>
      </c>
      <c r="C12" s="173"/>
      <c r="D12" s="173"/>
      <c r="E12" s="173"/>
      <c r="F12" s="173"/>
      <c r="G12" s="165">
        <v>148.19999999999999</v>
      </c>
      <c r="H12" s="166"/>
      <c r="I12" s="174">
        <f>G12/G32</f>
        <v>1.288695652173913</v>
      </c>
      <c r="J12" s="175"/>
      <c r="K12" s="6"/>
      <c r="N12" s="172" t="s">
        <v>13</v>
      </c>
      <c r="O12" s="173"/>
      <c r="P12" s="173"/>
      <c r="Q12" s="173"/>
      <c r="R12" s="173"/>
      <c r="S12" s="165">
        <v>260.2</v>
      </c>
      <c r="T12" s="166"/>
      <c r="U12" s="174">
        <v>0.87</v>
      </c>
      <c r="V12" s="175"/>
      <c r="W12" s="4"/>
      <c r="X12" s="6"/>
      <c r="AA12" s="172" t="s">
        <v>13</v>
      </c>
      <c r="AB12" s="173"/>
      <c r="AC12" s="173"/>
      <c r="AD12" s="173"/>
      <c r="AE12" s="173"/>
      <c r="AF12" s="165">
        <v>308.2</v>
      </c>
      <c r="AG12" s="166"/>
      <c r="AH12" s="42">
        <v>13.17</v>
      </c>
      <c r="AI12" s="38"/>
      <c r="AJ12" s="4"/>
    </row>
    <row r="13" spans="1:47" ht="15.75">
      <c r="B13" s="172" t="s">
        <v>14</v>
      </c>
      <c r="C13" s="173"/>
      <c r="D13" s="173"/>
      <c r="E13" s="173"/>
      <c r="F13" s="173"/>
      <c r="G13" s="165">
        <v>1120.5</v>
      </c>
      <c r="H13" s="166"/>
      <c r="I13" s="174">
        <f>G13/G32</f>
        <v>9.7434782608695656</v>
      </c>
      <c r="J13" s="175"/>
      <c r="K13" s="6">
        <f>I13/I42*100</f>
        <v>38.812453238008146</v>
      </c>
      <c r="N13" s="172" t="s">
        <v>14</v>
      </c>
      <c r="O13" s="173"/>
      <c r="P13" s="173"/>
      <c r="Q13" s="173"/>
      <c r="R13" s="173"/>
      <c r="S13" s="165">
        <v>874.9</v>
      </c>
      <c r="T13" s="166"/>
      <c r="U13" s="174">
        <v>2.91</v>
      </c>
      <c r="V13" s="175"/>
      <c r="W13" s="4"/>
      <c r="X13" s="6"/>
      <c r="Y13" s="10"/>
      <c r="Z13" s="10"/>
      <c r="AA13" s="172" t="s">
        <v>14</v>
      </c>
      <c r="AB13" s="173"/>
      <c r="AC13" s="173"/>
      <c r="AD13" s="173"/>
      <c r="AE13" s="173"/>
      <c r="AF13" s="165">
        <v>131.5</v>
      </c>
      <c r="AG13" s="166"/>
      <c r="AH13" s="42">
        <f>AF13/23.4</f>
        <v>5.6196581196581201</v>
      </c>
      <c r="AI13" s="38"/>
      <c r="AJ13" s="5">
        <f>128.5/AF31*100</f>
        <v>17.91124922859829</v>
      </c>
    </row>
    <row r="14" spans="1:47" ht="32.25" customHeight="1">
      <c r="B14" s="180" t="s">
        <v>15</v>
      </c>
      <c r="C14" s="181"/>
      <c r="D14" s="181"/>
      <c r="E14" s="181"/>
      <c r="F14" s="181"/>
      <c r="G14" s="165">
        <v>246.5</v>
      </c>
      <c r="H14" s="166"/>
      <c r="I14" s="174">
        <f>G14/G32</f>
        <v>2.1434782608695651</v>
      </c>
      <c r="J14" s="175"/>
      <c r="K14" s="6">
        <f>I14/I42*100</f>
        <v>8.5383933272369532</v>
      </c>
      <c r="N14" s="180" t="s">
        <v>15</v>
      </c>
      <c r="O14" s="181"/>
      <c r="P14" s="181"/>
      <c r="Q14" s="181"/>
      <c r="R14" s="181"/>
      <c r="S14" s="165">
        <f>S13*0.22</f>
        <v>192.47800000000001</v>
      </c>
      <c r="T14" s="166"/>
      <c r="U14" s="174">
        <v>0.64</v>
      </c>
      <c r="V14" s="175"/>
      <c r="W14" s="4"/>
      <c r="X14" s="6"/>
      <c r="AA14" s="180" t="s">
        <v>15</v>
      </c>
      <c r="AB14" s="181"/>
      <c r="AC14" s="181"/>
      <c r="AD14" s="181"/>
      <c r="AE14" s="181"/>
      <c r="AF14" s="165">
        <v>28.9</v>
      </c>
      <c r="AG14" s="166"/>
      <c r="AH14" s="42">
        <v>1.24</v>
      </c>
      <c r="AI14" s="38"/>
      <c r="AJ14" s="4"/>
    </row>
    <row r="15" spans="1:47" ht="15.75">
      <c r="B15" s="172" t="s">
        <v>16</v>
      </c>
      <c r="C15" s="173"/>
      <c r="D15" s="173"/>
      <c r="E15" s="173"/>
      <c r="F15" s="173"/>
      <c r="G15" s="165">
        <v>6.6</v>
      </c>
      <c r="H15" s="166"/>
      <c r="I15" s="174">
        <f>G15/G32</f>
        <v>5.7391304347826085E-2</v>
      </c>
      <c r="J15" s="175"/>
      <c r="K15" s="6"/>
      <c r="N15" s="172" t="s">
        <v>16</v>
      </c>
      <c r="O15" s="173"/>
      <c r="P15" s="173"/>
      <c r="Q15" s="173"/>
      <c r="R15" s="173"/>
      <c r="S15" s="165">
        <v>58.7</v>
      </c>
      <c r="T15" s="166"/>
      <c r="U15" s="174">
        <v>0.2</v>
      </c>
      <c r="V15" s="175"/>
      <c r="W15" s="4"/>
      <c r="X15" s="6"/>
      <c r="AA15" s="172" t="s">
        <v>16</v>
      </c>
      <c r="AB15" s="173"/>
      <c r="AC15" s="173"/>
      <c r="AD15" s="173"/>
      <c r="AE15" s="173"/>
      <c r="AF15" s="165">
        <v>6.3</v>
      </c>
      <c r="AG15" s="166"/>
      <c r="AH15" s="42">
        <v>0.27</v>
      </c>
      <c r="AI15" s="38"/>
      <c r="AJ15" s="4"/>
      <c r="AK15" s="11" t="s">
        <v>42</v>
      </c>
      <c r="AL15" s="11" t="s">
        <v>40</v>
      </c>
      <c r="AM15" t="s">
        <v>41</v>
      </c>
      <c r="AN15" s="10"/>
    </row>
    <row r="16" spans="1:47" ht="15.75">
      <c r="B16" s="172" t="s">
        <v>17</v>
      </c>
      <c r="C16" s="173"/>
      <c r="D16" s="173"/>
      <c r="E16" s="173"/>
      <c r="F16" s="173"/>
      <c r="G16" s="165">
        <v>28.2</v>
      </c>
      <c r="H16" s="166"/>
      <c r="I16" s="174">
        <v>0.24</v>
      </c>
      <c r="J16" s="175"/>
      <c r="K16" s="6"/>
      <c r="N16" s="172" t="s">
        <v>17</v>
      </c>
      <c r="O16" s="173"/>
      <c r="P16" s="173"/>
      <c r="Q16" s="173"/>
      <c r="R16" s="173"/>
      <c r="S16" s="165">
        <v>213</v>
      </c>
      <c r="T16" s="166"/>
      <c r="U16" s="174">
        <v>0.71</v>
      </c>
      <c r="V16" s="175"/>
      <c r="W16" s="4"/>
      <c r="X16" s="6"/>
      <c r="AA16" s="172" t="s">
        <v>17</v>
      </c>
      <c r="AB16" s="173"/>
      <c r="AC16" s="173"/>
      <c r="AD16" s="173"/>
      <c r="AE16" s="173"/>
      <c r="AF16" s="165">
        <v>4.0999999999999996</v>
      </c>
      <c r="AG16" s="166"/>
      <c r="AH16" s="42">
        <v>0.17</v>
      </c>
      <c r="AI16" s="38"/>
      <c r="AJ16" s="5">
        <v>540.4</v>
      </c>
      <c r="AK16" s="12">
        <f>404.2</f>
        <v>404.2</v>
      </c>
      <c r="AL16" s="12">
        <f>AJ16/AJ10*S10</f>
        <v>276.74274534720234</v>
      </c>
      <c r="AM16" s="12">
        <f>AJ16/AJ10*AF10</f>
        <v>60.572206827353455</v>
      </c>
    </row>
    <row r="17" spans="2:40" ht="15.75">
      <c r="B17" s="182" t="s">
        <v>18</v>
      </c>
      <c r="C17" s="183"/>
      <c r="D17" s="183"/>
      <c r="E17" s="183"/>
      <c r="F17" s="183"/>
      <c r="G17" s="176">
        <f>AJ16/AJ10*G10</f>
        <v>203.08504782544424</v>
      </c>
      <c r="H17" s="177"/>
      <c r="I17" s="167">
        <f>I18+I19+I20</f>
        <v>1.7714651164012869</v>
      </c>
      <c r="J17" s="168"/>
      <c r="K17" s="6">
        <f>I17/I42*100</f>
        <v>7.056505403128134</v>
      </c>
      <c r="N17" s="182" t="s">
        <v>18</v>
      </c>
      <c r="O17" s="183"/>
      <c r="P17" s="183"/>
      <c r="Q17" s="183"/>
      <c r="R17" s="183"/>
      <c r="S17" s="176">
        <f>AJ16/AJ10*S10</f>
        <v>276.74274534720234</v>
      </c>
      <c r="T17" s="177"/>
      <c r="U17" s="167">
        <v>0.92</v>
      </c>
      <c r="V17" s="168"/>
      <c r="W17" s="4"/>
      <c r="X17" s="6"/>
      <c r="Y17" s="10">
        <f>G17+S17+AF17</f>
        <v>540.40000000000009</v>
      </c>
      <c r="Z17" s="10"/>
      <c r="AA17" s="182" t="s">
        <v>18</v>
      </c>
      <c r="AB17" s="183"/>
      <c r="AC17" s="183"/>
      <c r="AD17" s="183"/>
      <c r="AE17" s="183"/>
      <c r="AF17" s="188">
        <f>AJ16/AJ10*AF10</f>
        <v>60.572206827353455</v>
      </c>
      <c r="AG17" s="189"/>
      <c r="AH17" s="41">
        <f>AH18+AH19+AH20</f>
        <v>2.5900000000000003</v>
      </c>
      <c r="AI17" s="9"/>
      <c r="AJ17" s="5">
        <v>540.4</v>
      </c>
      <c r="AK17" s="10">
        <f>47.3/AJ10*AF10</f>
        <v>5.3017494132750151</v>
      </c>
      <c r="AL17" s="10"/>
      <c r="AM17" s="10"/>
    </row>
    <row r="18" spans="2:40" ht="15.75">
      <c r="B18" s="172" t="s">
        <v>14</v>
      </c>
      <c r="C18" s="173"/>
      <c r="D18" s="173"/>
      <c r="E18" s="173"/>
      <c r="F18" s="173"/>
      <c r="G18" s="165">
        <f>AJ18/AJ10*G10</f>
        <v>151.90040031651475</v>
      </c>
      <c r="H18" s="166"/>
      <c r="I18" s="174">
        <f>G18/G32</f>
        <v>1.3208730462305631</v>
      </c>
      <c r="J18" s="175"/>
      <c r="K18" s="6"/>
      <c r="N18" s="172" t="s">
        <v>14</v>
      </c>
      <c r="O18" s="173"/>
      <c r="P18" s="173"/>
      <c r="Q18" s="173"/>
      <c r="R18" s="173"/>
      <c r="S18" s="165">
        <f>AJ18/AJ10*S10</f>
        <v>206.99374106095337</v>
      </c>
      <c r="T18" s="166"/>
      <c r="U18" s="174">
        <v>0.69</v>
      </c>
      <c r="V18" s="175"/>
      <c r="W18" s="4"/>
      <c r="X18" s="6"/>
      <c r="AA18" s="172" t="s">
        <v>14</v>
      </c>
      <c r="AB18" s="173"/>
      <c r="AC18" s="173"/>
      <c r="AD18" s="173"/>
      <c r="AE18" s="173"/>
      <c r="AF18" s="165">
        <f>AK16/AJ10*AF10</f>
        <v>45.30585862253195</v>
      </c>
      <c r="AG18" s="166"/>
      <c r="AH18" s="42">
        <v>1.94</v>
      </c>
      <c r="AI18" s="38"/>
      <c r="AJ18" s="5">
        <v>404.2</v>
      </c>
      <c r="AK18" s="10"/>
      <c r="AL18" s="10"/>
      <c r="AM18" s="10"/>
    </row>
    <row r="19" spans="2:40" ht="28.5" customHeight="1">
      <c r="B19" s="180" t="s">
        <v>15</v>
      </c>
      <c r="C19" s="181"/>
      <c r="D19" s="181"/>
      <c r="E19" s="181"/>
      <c r="F19" s="181"/>
      <c r="G19" s="165">
        <f>G18*0.22</f>
        <v>33.418088069633242</v>
      </c>
      <c r="H19" s="166"/>
      <c r="I19" s="174">
        <f>G19/G32</f>
        <v>0.29059207017072386</v>
      </c>
      <c r="J19" s="175"/>
      <c r="K19" s="6"/>
      <c r="N19" s="180" t="s">
        <v>15</v>
      </c>
      <c r="O19" s="181"/>
      <c r="P19" s="181"/>
      <c r="Q19" s="181"/>
      <c r="R19" s="181"/>
      <c r="S19" s="165">
        <f>S18*0.22</f>
        <v>45.538623033409742</v>
      </c>
      <c r="T19" s="166"/>
      <c r="U19" s="174">
        <v>0.15</v>
      </c>
      <c r="V19" s="175"/>
      <c r="W19" s="4"/>
      <c r="X19" s="6"/>
      <c r="AA19" s="180" t="s">
        <v>15</v>
      </c>
      <c r="AB19" s="181"/>
      <c r="AC19" s="181"/>
      <c r="AD19" s="181"/>
      <c r="AE19" s="181"/>
      <c r="AF19" s="165">
        <f>AF18*0.22</f>
        <v>9.9672888969570295</v>
      </c>
      <c r="AG19" s="166"/>
      <c r="AH19" s="42">
        <v>0.43</v>
      </c>
      <c r="AI19" s="38"/>
      <c r="AJ19" s="5"/>
      <c r="AK19" s="10"/>
      <c r="AL19" s="10"/>
      <c r="AM19" s="10"/>
    </row>
    <row r="20" spans="2:40" ht="15.75">
      <c r="B20" s="172" t="s">
        <v>19</v>
      </c>
      <c r="C20" s="173"/>
      <c r="D20" s="173"/>
      <c r="E20" s="173"/>
      <c r="F20" s="173"/>
      <c r="G20" s="165">
        <f>G17-G18-G19</f>
        <v>17.766559439296245</v>
      </c>
      <c r="H20" s="166"/>
      <c r="I20" s="174">
        <v>0.16</v>
      </c>
      <c r="J20" s="175"/>
      <c r="K20" s="6"/>
      <c r="N20" s="172" t="s">
        <v>19</v>
      </c>
      <c r="O20" s="173"/>
      <c r="P20" s="173"/>
      <c r="Q20" s="173"/>
      <c r="R20" s="173"/>
      <c r="S20" s="165">
        <f>S17-S18-S19</f>
        <v>24.210381252839234</v>
      </c>
      <c r="T20" s="166"/>
      <c r="U20" s="174">
        <v>0.08</v>
      </c>
      <c r="V20" s="175"/>
      <c r="W20" s="4"/>
      <c r="X20" s="6"/>
      <c r="AA20" s="172" t="s">
        <v>19</v>
      </c>
      <c r="AB20" s="173"/>
      <c r="AC20" s="173"/>
      <c r="AD20" s="173"/>
      <c r="AE20" s="173"/>
      <c r="AF20" s="165">
        <f>AF17-AF18-AF19</f>
        <v>5.299059307864475</v>
      </c>
      <c r="AG20" s="166"/>
      <c r="AH20" s="42">
        <v>0.22</v>
      </c>
      <c r="AI20" s="38"/>
      <c r="AJ20" s="5"/>
      <c r="AK20" s="10"/>
      <c r="AL20" s="10"/>
      <c r="AM20" s="10"/>
    </row>
    <row r="21" spans="2:40" ht="15.75">
      <c r="B21" s="182" t="s">
        <v>20</v>
      </c>
      <c r="C21" s="183"/>
      <c r="D21" s="183"/>
      <c r="E21" s="183"/>
      <c r="F21" s="183"/>
      <c r="G21" s="176">
        <f>AJ21/AJ9*G9</f>
        <v>295.08212352431309</v>
      </c>
      <c r="H21" s="177"/>
      <c r="I21" s="167">
        <f>I22+I23+I24</f>
        <v>2.5707777166003205</v>
      </c>
      <c r="J21" s="168"/>
      <c r="K21" s="6">
        <f>I21/I42*100</f>
        <v>10.240510343372849</v>
      </c>
      <c r="N21" s="182" t="s">
        <v>20</v>
      </c>
      <c r="O21" s="183"/>
      <c r="P21" s="183"/>
      <c r="Q21" s="183"/>
      <c r="R21" s="183"/>
      <c r="S21" s="186">
        <f>AJ21/AJ9*S9</f>
        <v>402.10659446081286</v>
      </c>
      <c r="T21" s="187"/>
      <c r="U21" s="167">
        <f>U22+U23+U24</f>
        <v>1.3426</v>
      </c>
      <c r="V21" s="168"/>
      <c r="W21" s="4"/>
      <c r="X21" s="6"/>
      <c r="Y21" s="10">
        <f>G21+S21+AF21</f>
        <v>785.2</v>
      </c>
      <c r="Z21" s="10"/>
      <c r="AA21" s="182" t="s">
        <v>20</v>
      </c>
      <c r="AB21" s="183"/>
      <c r="AC21" s="183"/>
      <c r="AD21" s="183"/>
      <c r="AE21" s="183"/>
      <c r="AF21" s="176">
        <f>AJ21/AJ9*AF9</f>
        <v>88.011282014874027</v>
      </c>
      <c r="AG21" s="177"/>
      <c r="AH21" s="41">
        <f>AH22+AH23+AH24</f>
        <v>3.7648000000000001</v>
      </c>
      <c r="AI21" s="9"/>
      <c r="AJ21" s="5">
        <v>785.2</v>
      </c>
      <c r="AK21" s="10">
        <f>AJ21/AJ9*100</f>
        <v>15.731126754976282</v>
      </c>
      <c r="AL21" s="10"/>
      <c r="AM21" s="10"/>
    </row>
    <row r="22" spans="2:40" ht="15.75">
      <c r="B22" s="172" t="s">
        <v>14</v>
      </c>
      <c r="C22" s="173"/>
      <c r="D22" s="173"/>
      <c r="E22" s="173"/>
      <c r="F22" s="173"/>
      <c r="G22" s="165">
        <f>AJ22/AJ9*G9</f>
        <v>183.54318534039035</v>
      </c>
      <c r="H22" s="166"/>
      <c r="I22" s="174">
        <v>1.6</v>
      </c>
      <c r="J22" s="175"/>
      <c r="K22" s="6"/>
      <c r="N22" s="172" t="s">
        <v>14</v>
      </c>
      <c r="O22" s="173"/>
      <c r="P22" s="173"/>
      <c r="Q22" s="173"/>
      <c r="R22" s="173"/>
      <c r="S22" s="184">
        <f>AJ22/AJ9*S9</f>
        <v>250.11316955509548</v>
      </c>
      <c r="T22" s="185"/>
      <c r="U22" s="174">
        <v>0.83</v>
      </c>
      <c r="V22" s="175"/>
      <c r="W22" s="4"/>
      <c r="X22" s="6"/>
      <c r="AA22" s="172" t="s">
        <v>14</v>
      </c>
      <c r="AB22" s="173"/>
      <c r="AC22" s="173"/>
      <c r="AD22" s="173"/>
      <c r="AE22" s="173"/>
      <c r="AF22" s="165">
        <f>AJ22/AJ9*AF9</f>
        <v>54.743645104514101</v>
      </c>
      <c r="AG22" s="166"/>
      <c r="AH22" s="42">
        <v>2.34</v>
      </c>
      <c r="AI22" s="38"/>
      <c r="AJ22" s="4">
        <v>488.4</v>
      </c>
    </row>
    <row r="23" spans="2:40" ht="33.75" customHeight="1">
      <c r="B23" s="180" t="s">
        <v>15</v>
      </c>
      <c r="C23" s="181"/>
      <c r="D23" s="181"/>
      <c r="E23" s="181"/>
      <c r="F23" s="181"/>
      <c r="G23" s="165">
        <f>G22*0.22</f>
        <v>40.379500774885877</v>
      </c>
      <c r="H23" s="166"/>
      <c r="I23" s="174">
        <f>I22*0.22</f>
        <v>0.35200000000000004</v>
      </c>
      <c r="J23" s="175"/>
      <c r="K23" s="6"/>
      <c r="N23" s="180" t="s">
        <v>15</v>
      </c>
      <c r="O23" s="181"/>
      <c r="P23" s="181"/>
      <c r="Q23" s="181"/>
      <c r="R23" s="181"/>
      <c r="S23" s="184">
        <f>S22*0.22</f>
        <v>55.024897302121005</v>
      </c>
      <c r="T23" s="185"/>
      <c r="U23" s="174">
        <f>U22*0.22</f>
        <v>0.18259999999999998</v>
      </c>
      <c r="V23" s="175"/>
      <c r="W23" s="4"/>
      <c r="X23" s="6"/>
      <c r="AA23" s="180" t="s">
        <v>15</v>
      </c>
      <c r="AB23" s="181"/>
      <c r="AC23" s="181"/>
      <c r="AD23" s="181"/>
      <c r="AE23" s="181"/>
      <c r="AF23" s="165">
        <f>AF22*0.22</f>
        <v>12.043601922993103</v>
      </c>
      <c r="AG23" s="166"/>
      <c r="AH23" s="42">
        <f>AH22*0.22</f>
        <v>0.51479999999999992</v>
      </c>
      <c r="AI23" s="38"/>
      <c r="AJ23" s="5"/>
    </row>
    <row r="24" spans="2:40" ht="15.75">
      <c r="B24" s="172" t="s">
        <v>19</v>
      </c>
      <c r="C24" s="173"/>
      <c r="D24" s="173"/>
      <c r="E24" s="173"/>
      <c r="F24" s="173"/>
      <c r="G24" s="165">
        <f>G21-G22-G23</f>
        <v>71.159437409036855</v>
      </c>
      <c r="H24" s="166"/>
      <c r="I24" s="174">
        <f>G24/G32</f>
        <v>0.61877771660032044</v>
      </c>
      <c r="J24" s="175"/>
      <c r="K24" s="6"/>
      <c r="N24" s="172" t="s">
        <v>19</v>
      </c>
      <c r="O24" s="173"/>
      <c r="P24" s="173"/>
      <c r="Q24" s="173"/>
      <c r="R24" s="173"/>
      <c r="S24" s="184">
        <f>S21-S22-S23</f>
        <v>96.968527603596371</v>
      </c>
      <c r="T24" s="185"/>
      <c r="U24" s="174">
        <v>0.33</v>
      </c>
      <c r="V24" s="175"/>
      <c r="W24" s="4"/>
      <c r="X24" s="6"/>
      <c r="AA24" s="172" t="s">
        <v>19</v>
      </c>
      <c r="AB24" s="173"/>
      <c r="AC24" s="173"/>
      <c r="AD24" s="173"/>
      <c r="AE24" s="173"/>
      <c r="AF24" s="165">
        <v>21.3</v>
      </c>
      <c r="AG24" s="166"/>
      <c r="AH24" s="42">
        <v>0.91</v>
      </c>
      <c r="AI24" s="38"/>
      <c r="AJ24" s="4"/>
    </row>
    <row r="25" spans="2:40" ht="15.75">
      <c r="B25" s="182" t="s">
        <v>21</v>
      </c>
      <c r="C25" s="183"/>
      <c r="D25" s="183"/>
      <c r="E25" s="183"/>
      <c r="F25" s="183"/>
      <c r="G25" s="176">
        <f>AJ25/AJ9*G9</f>
        <v>234.50234982064617</v>
      </c>
      <c r="H25" s="177"/>
      <c r="I25" s="167">
        <f>I26+I27+I28</f>
        <v>2.0408004691181989</v>
      </c>
      <c r="J25" s="168"/>
      <c r="K25" s="6">
        <f>I25/I42*100</f>
        <v>8.1293836405281965</v>
      </c>
      <c r="N25" s="182" t="s">
        <v>21</v>
      </c>
      <c r="O25" s="183"/>
      <c r="P25" s="183"/>
      <c r="Q25" s="183"/>
      <c r="R25" s="183"/>
      <c r="S25" s="176">
        <f>AJ25/AJ9*S9</f>
        <v>319.55490950528173</v>
      </c>
      <c r="T25" s="177"/>
      <c r="U25" s="167">
        <f>U26+U27+U28</f>
        <v>1.07</v>
      </c>
      <c r="V25" s="168"/>
      <c r="W25" s="4"/>
      <c r="X25" s="6"/>
      <c r="Y25" s="10">
        <f>G25+S25+AF25</f>
        <v>624</v>
      </c>
      <c r="Z25" s="10"/>
      <c r="AA25" s="182" t="s">
        <v>21</v>
      </c>
      <c r="AB25" s="183"/>
      <c r="AC25" s="183"/>
      <c r="AD25" s="183"/>
      <c r="AE25" s="183"/>
      <c r="AF25" s="176">
        <f>AJ25/AJ9*AF9</f>
        <v>69.94274067407207</v>
      </c>
      <c r="AG25" s="177"/>
      <c r="AH25" s="41">
        <f>AH26+AH27+AH28</f>
        <v>2.9899999999999998</v>
      </c>
      <c r="AI25" s="9"/>
      <c r="AJ25" s="4">
        <v>624</v>
      </c>
      <c r="AK25">
        <f>AF25/AF9*100</f>
        <v>12.501557686073866</v>
      </c>
      <c r="AN25" s="10">
        <f>G25+S25+AF25</f>
        <v>624</v>
      </c>
    </row>
    <row r="26" spans="2:40" ht="15.75">
      <c r="B26" s="172" t="s">
        <v>14</v>
      </c>
      <c r="C26" s="173"/>
      <c r="D26" s="173"/>
      <c r="E26" s="173"/>
      <c r="F26" s="173"/>
      <c r="G26" s="165">
        <f>AJ26/AJ9*G9</f>
        <v>179.86029587205331</v>
      </c>
      <c r="H26" s="166"/>
      <c r="I26" s="174">
        <v>1.56</v>
      </c>
      <c r="J26" s="175"/>
      <c r="K26" s="6"/>
      <c r="N26" s="172" t="s">
        <v>14</v>
      </c>
      <c r="O26" s="173"/>
      <c r="P26" s="173"/>
      <c r="Q26" s="173"/>
      <c r="R26" s="173"/>
      <c r="S26" s="165">
        <f>AJ26/AJ9*S9</f>
        <v>245.09451873273693</v>
      </c>
      <c r="T26" s="166"/>
      <c r="U26" s="174">
        <v>0.82</v>
      </c>
      <c r="V26" s="175"/>
      <c r="W26" s="4"/>
      <c r="X26" s="6"/>
      <c r="AA26" s="172" t="s">
        <v>14</v>
      </c>
      <c r="AB26" s="173"/>
      <c r="AC26" s="173"/>
      <c r="AD26" s="173"/>
      <c r="AE26" s="173"/>
      <c r="AF26" s="165">
        <f>AJ26/AJ9*AF9</f>
        <v>53.645185395209772</v>
      </c>
      <c r="AG26" s="166"/>
      <c r="AH26" s="42">
        <v>2.29</v>
      </c>
      <c r="AI26" s="38"/>
      <c r="AJ26" s="4">
        <v>478.6</v>
      </c>
    </row>
    <row r="27" spans="2:40" ht="31.5" customHeight="1">
      <c r="B27" s="180" t="s">
        <v>15</v>
      </c>
      <c r="C27" s="181"/>
      <c r="D27" s="181"/>
      <c r="E27" s="181"/>
      <c r="F27" s="181"/>
      <c r="G27" s="165">
        <v>39.6</v>
      </c>
      <c r="H27" s="166"/>
      <c r="I27" s="174">
        <v>0.35</v>
      </c>
      <c r="J27" s="175"/>
      <c r="K27" s="6"/>
      <c r="N27" s="180" t="s">
        <v>15</v>
      </c>
      <c r="O27" s="181"/>
      <c r="P27" s="181"/>
      <c r="Q27" s="181"/>
      <c r="R27" s="181"/>
      <c r="S27" s="165">
        <f>S26*0.22</f>
        <v>53.920794121202128</v>
      </c>
      <c r="T27" s="166"/>
      <c r="U27" s="174">
        <v>0.18</v>
      </c>
      <c r="V27" s="175"/>
      <c r="W27" s="4"/>
      <c r="X27" s="6"/>
      <c r="AA27" s="180" t="s">
        <v>15</v>
      </c>
      <c r="AB27" s="181"/>
      <c r="AC27" s="181"/>
      <c r="AD27" s="181"/>
      <c r="AE27" s="181"/>
      <c r="AF27" s="165">
        <f>AF26*0.22</f>
        <v>11.801940786946149</v>
      </c>
      <c r="AG27" s="166"/>
      <c r="AH27" s="42">
        <v>0.51</v>
      </c>
      <c r="AI27" s="38"/>
      <c r="AJ27" s="5"/>
    </row>
    <row r="28" spans="2:40" ht="15.75">
      <c r="B28" s="172" t="s">
        <v>19</v>
      </c>
      <c r="C28" s="173"/>
      <c r="D28" s="173"/>
      <c r="E28" s="173"/>
      <c r="F28" s="173"/>
      <c r="G28" s="165">
        <f>G25-G26-G27</f>
        <v>15.042053948592859</v>
      </c>
      <c r="H28" s="166"/>
      <c r="I28" s="174">
        <f>G28/G32</f>
        <v>0.13080046911819876</v>
      </c>
      <c r="J28" s="175"/>
      <c r="K28" s="6"/>
      <c r="N28" s="172" t="s">
        <v>19</v>
      </c>
      <c r="O28" s="173"/>
      <c r="P28" s="173"/>
      <c r="Q28" s="173"/>
      <c r="R28" s="173"/>
      <c r="S28" s="165">
        <v>20.6</v>
      </c>
      <c r="T28" s="166"/>
      <c r="U28" s="174">
        <v>7.0000000000000007E-2</v>
      </c>
      <c r="V28" s="175"/>
      <c r="W28" s="4"/>
      <c r="X28" s="6"/>
      <c r="AA28" s="172" t="s">
        <v>19</v>
      </c>
      <c r="AB28" s="173"/>
      <c r="AC28" s="173"/>
      <c r="AD28" s="173"/>
      <c r="AE28" s="173"/>
      <c r="AF28" s="165">
        <f>AF25-AF26-AF27</f>
        <v>4.4956144919161485</v>
      </c>
      <c r="AG28" s="166"/>
      <c r="AH28" s="42">
        <v>0.19</v>
      </c>
      <c r="AI28" s="38"/>
      <c r="AJ28" s="4"/>
    </row>
    <row r="29" spans="2:40" ht="15.75">
      <c r="B29" s="172" t="s">
        <v>22</v>
      </c>
      <c r="C29" s="173"/>
      <c r="D29" s="173"/>
      <c r="E29" s="173"/>
      <c r="F29" s="173"/>
      <c r="G29" s="165"/>
      <c r="H29" s="166"/>
      <c r="I29" s="174"/>
      <c r="J29" s="175"/>
      <c r="K29" s="6"/>
      <c r="N29" s="172" t="s">
        <v>22</v>
      </c>
      <c r="O29" s="173"/>
      <c r="P29" s="173"/>
      <c r="Q29" s="173"/>
      <c r="R29" s="173"/>
      <c r="S29" s="165"/>
      <c r="T29" s="166"/>
      <c r="U29" s="174"/>
      <c r="V29" s="175"/>
      <c r="W29" s="4"/>
      <c r="X29" s="6"/>
      <c r="AA29" s="172" t="s">
        <v>22</v>
      </c>
      <c r="AB29" s="173"/>
      <c r="AC29" s="173"/>
      <c r="AD29" s="173"/>
      <c r="AE29" s="173"/>
      <c r="AF29" s="165"/>
      <c r="AG29" s="166"/>
      <c r="AH29" s="43"/>
      <c r="AI29" s="39"/>
      <c r="AJ29" s="4"/>
    </row>
    <row r="30" spans="2:40" ht="15.75">
      <c r="B30" s="172" t="s">
        <v>23</v>
      </c>
      <c r="C30" s="173"/>
      <c r="D30" s="173"/>
      <c r="E30" s="173"/>
      <c r="F30" s="173"/>
      <c r="G30" s="165"/>
      <c r="H30" s="166"/>
      <c r="I30" s="174"/>
      <c r="J30" s="175"/>
      <c r="K30" s="6"/>
      <c r="L30" s="14">
        <f>I9+I21+I25</f>
        <v>20.923043302119808</v>
      </c>
      <c r="M30" s="14"/>
      <c r="N30" s="172" t="s">
        <v>23</v>
      </c>
      <c r="O30" s="173"/>
      <c r="P30" s="173"/>
      <c r="Q30" s="173"/>
      <c r="R30" s="173"/>
      <c r="S30" s="165"/>
      <c r="T30" s="166"/>
      <c r="U30" s="174"/>
      <c r="V30" s="175"/>
      <c r="W30" s="4"/>
      <c r="X30" s="6"/>
      <c r="AA30" s="172" t="s">
        <v>23</v>
      </c>
      <c r="AB30" s="173"/>
      <c r="AC30" s="173"/>
      <c r="AD30" s="173"/>
      <c r="AE30" s="173"/>
      <c r="AF30" s="165"/>
      <c r="AG30" s="166"/>
      <c r="AH30" s="42"/>
      <c r="AI30" s="38"/>
      <c r="AJ30" s="4"/>
    </row>
    <row r="31" spans="2:40" ht="15.75">
      <c r="B31" s="178" t="s">
        <v>24</v>
      </c>
      <c r="C31" s="179"/>
      <c r="D31" s="179"/>
      <c r="E31" s="179"/>
      <c r="F31" s="179"/>
      <c r="G31" s="176">
        <f>G9+G21+G25</f>
        <v>2405.3695211704035</v>
      </c>
      <c r="H31" s="177"/>
      <c r="I31" s="167">
        <v>20.92</v>
      </c>
      <c r="J31" s="168"/>
      <c r="K31" s="6"/>
      <c r="L31" s="10">
        <f>G9+G21+G25</f>
        <v>2405.3695211704035</v>
      </c>
      <c r="M31" s="10"/>
      <c r="N31" s="178" t="s">
        <v>24</v>
      </c>
      <c r="O31" s="179"/>
      <c r="P31" s="179"/>
      <c r="Q31" s="179"/>
      <c r="R31" s="179"/>
      <c r="S31" s="176">
        <f>S9+S21+S25</f>
        <v>3277.7822493132967</v>
      </c>
      <c r="T31" s="177"/>
      <c r="U31" s="167">
        <v>10.93</v>
      </c>
      <c r="V31" s="168"/>
      <c r="W31" s="4"/>
      <c r="X31" s="6"/>
      <c r="Y31" s="10">
        <f>G31+S31+AF31</f>
        <v>6400.5780000000004</v>
      </c>
      <c r="Z31" s="10"/>
      <c r="AA31" s="178" t="s">
        <v>24</v>
      </c>
      <c r="AB31" s="179"/>
      <c r="AC31" s="179"/>
      <c r="AD31" s="179"/>
      <c r="AE31" s="179"/>
      <c r="AF31" s="176">
        <f>AF9+AF21+AF25</f>
        <v>717.42622951629949</v>
      </c>
      <c r="AG31" s="177"/>
      <c r="AH31" s="42">
        <f>AF31/AF32</f>
        <v>30.659240577619634</v>
      </c>
      <c r="AI31" s="38"/>
      <c r="AJ31" s="15">
        <f>AH9+AH21+AH25</f>
        <v>30.66531282051282</v>
      </c>
      <c r="AK31" s="10">
        <f>AF9+AF21+AF25</f>
        <v>717.42622951629949</v>
      </c>
      <c r="AL31" s="10">
        <f>G31+S31+AF31</f>
        <v>6400.5780000000004</v>
      </c>
    </row>
    <row r="32" spans="2:40" ht="18.75">
      <c r="B32" s="172" t="s">
        <v>25</v>
      </c>
      <c r="C32" s="173"/>
      <c r="D32" s="173"/>
      <c r="E32" s="173"/>
      <c r="F32" s="173"/>
      <c r="G32" s="176">
        <v>115</v>
      </c>
      <c r="H32" s="177"/>
      <c r="I32" s="174"/>
      <c r="J32" s="175"/>
      <c r="K32" s="6"/>
      <c r="N32" s="172" t="s">
        <v>25</v>
      </c>
      <c r="O32" s="173"/>
      <c r="P32" s="173"/>
      <c r="Q32" s="173"/>
      <c r="R32" s="173"/>
      <c r="S32" s="176">
        <v>300</v>
      </c>
      <c r="T32" s="177"/>
      <c r="U32" s="174"/>
      <c r="V32" s="175"/>
      <c r="W32" s="4"/>
      <c r="X32" s="6"/>
      <c r="Y32" s="10">
        <f>Y9+Y21+Y25</f>
        <v>6400.5779999999995</v>
      </c>
      <c r="Z32" s="10"/>
      <c r="AA32" s="172" t="s">
        <v>25</v>
      </c>
      <c r="AB32" s="173"/>
      <c r="AC32" s="173"/>
      <c r="AD32" s="173"/>
      <c r="AE32" s="173"/>
      <c r="AF32" s="165">
        <f>AF33+AF34+AF35</f>
        <v>23.400000000000002</v>
      </c>
      <c r="AG32" s="166"/>
      <c r="AH32" s="42"/>
      <c r="AI32" s="38"/>
      <c r="AJ32" s="4"/>
      <c r="AK32" s="18">
        <f>AK10+540.4+785.2+624</f>
        <v>6400.5779999999986</v>
      </c>
    </row>
    <row r="33" spans="2:39" ht="18.75">
      <c r="B33" s="172" t="s">
        <v>26</v>
      </c>
      <c r="C33" s="173"/>
      <c r="D33" s="173"/>
      <c r="E33" s="173"/>
      <c r="F33" s="173"/>
      <c r="G33" s="176">
        <v>96</v>
      </c>
      <c r="H33" s="177"/>
      <c r="I33" s="174"/>
      <c r="J33" s="175"/>
      <c r="K33" s="6"/>
      <c r="L33">
        <f>G33*I39</f>
        <v>2008.3200000000002</v>
      </c>
      <c r="N33" s="172" t="s">
        <v>26</v>
      </c>
      <c r="O33" s="173"/>
      <c r="P33" s="173"/>
      <c r="Q33" s="173"/>
      <c r="R33" s="173"/>
      <c r="S33" s="176">
        <v>258</v>
      </c>
      <c r="T33" s="177"/>
      <c r="U33" s="211"/>
      <c r="V33" s="212"/>
      <c r="W33" s="4"/>
      <c r="X33" s="6"/>
      <c r="Y33" s="13"/>
      <c r="Z33" s="13"/>
      <c r="AA33" s="172" t="s">
        <v>26</v>
      </c>
      <c r="AB33" s="173"/>
      <c r="AC33" s="173"/>
      <c r="AD33" s="173"/>
      <c r="AE33" s="173"/>
      <c r="AF33" s="165">
        <v>17</v>
      </c>
      <c r="AG33" s="166"/>
      <c r="AH33" s="42"/>
      <c r="AI33" s="38"/>
      <c r="AJ33" s="5">
        <f>AF9+AF21+AF25</f>
        <v>717.42622951629949</v>
      </c>
      <c r="AK33" s="10">
        <f>G31+S31+AF31</f>
        <v>6400.5780000000004</v>
      </c>
      <c r="AL33">
        <f>AF33*AH39</f>
        <v>521.20708981953373</v>
      </c>
    </row>
    <row r="34" spans="2:39" ht="15.75">
      <c r="B34" s="172" t="s">
        <v>27</v>
      </c>
      <c r="C34" s="173"/>
      <c r="D34" s="173"/>
      <c r="E34" s="173"/>
      <c r="F34" s="173"/>
      <c r="G34" s="176">
        <v>12.5</v>
      </c>
      <c r="H34" s="177"/>
      <c r="I34" s="174"/>
      <c r="J34" s="175"/>
      <c r="K34" s="6"/>
      <c r="L34">
        <f>G34*I40</f>
        <v>300.72500000000002</v>
      </c>
      <c r="N34" s="172" t="s">
        <v>27</v>
      </c>
      <c r="O34" s="173"/>
      <c r="P34" s="173"/>
      <c r="Q34" s="173"/>
      <c r="R34" s="173"/>
      <c r="S34" s="176">
        <v>23</v>
      </c>
      <c r="T34" s="177"/>
      <c r="U34" s="174"/>
      <c r="V34" s="175"/>
      <c r="W34" s="4"/>
      <c r="X34" s="6"/>
      <c r="AA34" s="172" t="s">
        <v>27</v>
      </c>
      <c r="AB34" s="173"/>
      <c r="AC34" s="173"/>
      <c r="AD34" s="173"/>
      <c r="AE34" s="173"/>
      <c r="AF34" s="165">
        <v>4.5999999999999996</v>
      </c>
      <c r="AG34" s="166"/>
      <c r="AH34" s="42"/>
      <c r="AI34" s="38"/>
      <c r="AJ34" s="5">
        <f>S25+S21+S9</f>
        <v>3277.7822493132967</v>
      </c>
      <c r="AK34" s="10">
        <f>AK33-AK32</f>
        <v>0</v>
      </c>
      <c r="AL34">
        <f>AF34*AH40</f>
        <v>162.18738265560785</v>
      </c>
    </row>
    <row r="35" spans="2:39" ht="18.75">
      <c r="B35" s="172" t="s">
        <v>28</v>
      </c>
      <c r="C35" s="173"/>
      <c r="D35" s="173"/>
      <c r="E35" s="173"/>
      <c r="F35" s="173"/>
      <c r="G35" s="176">
        <v>6.5</v>
      </c>
      <c r="H35" s="177"/>
      <c r="I35" s="174"/>
      <c r="J35" s="175"/>
      <c r="K35" s="6"/>
      <c r="L35">
        <f>G35*I41</f>
        <v>203.97000000000003</v>
      </c>
      <c r="N35" s="172" t="s">
        <v>28</v>
      </c>
      <c r="O35" s="173"/>
      <c r="P35" s="173"/>
      <c r="Q35" s="173"/>
      <c r="R35" s="173"/>
      <c r="S35" s="176">
        <v>19</v>
      </c>
      <c r="T35" s="177"/>
      <c r="U35" s="174"/>
      <c r="V35" s="175"/>
      <c r="W35" s="4"/>
      <c r="X35" s="6"/>
      <c r="AA35" s="172" t="s">
        <v>28</v>
      </c>
      <c r="AB35" s="173"/>
      <c r="AC35" s="173"/>
      <c r="AD35" s="173"/>
      <c r="AE35" s="173"/>
      <c r="AF35" s="165">
        <v>1.8</v>
      </c>
      <c r="AG35" s="166"/>
      <c r="AH35" s="42"/>
      <c r="AI35" s="38"/>
      <c r="AJ35" s="5">
        <f>G25+G21+G9</f>
        <v>2405.3695211704035</v>
      </c>
      <c r="AL35">
        <f>AF35*AH41</f>
        <v>82.494</v>
      </c>
    </row>
    <row r="36" spans="2:39" ht="15.75">
      <c r="B36" s="172" t="s">
        <v>29</v>
      </c>
      <c r="C36" s="173"/>
      <c r="D36" s="173"/>
      <c r="E36" s="173"/>
      <c r="F36" s="173"/>
      <c r="G36" s="165"/>
      <c r="H36" s="166"/>
      <c r="I36" s="174"/>
      <c r="J36" s="175"/>
      <c r="K36" s="6"/>
      <c r="L36" s="20">
        <f>L33+L34+L35</f>
        <v>2513.0150000000003</v>
      </c>
      <c r="M36" s="35"/>
      <c r="N36" s="172" t="s">
        <v>29</v>
      </c>
      <c r="O36" s="173"/>
      <c r="P36" s="173"/>
      <c r="Q36" s="173"/>
      <c r="R36" s="173"/>
      <c r="S36" s="165"/>
      <c r="T36" s="166"/>
      <c r="U36" s="174"/>
      <c r="V36" s="175"/>
      <c r="W36" s="4"/>
      <c r="X36" s="34"/>
      <c r="AA36" s="172" t="s">
        <v>29</v>
      </c>
      <c r="AB36" s="173"/>
      <c r="AC36" s="173"/>
      <c r="AD36" s="173"/>
      <c r="AE36" s="173"/>
      <c r="AF36" s="165"/>
      <c r="AG36" s="166"/>
      <c r="AH36" s="42"/>
      <c r="AI36" s="38"/>
      <c r="AJ36" s="4"/>
      <c r="AL36" s="19">
        <f>AL35+AL34+AL33</f>
        <v>765.88847247514161</v>
      </c>
    </row>
    <row r="37" spans="2:39" ht="15.75">
      <c r="B37" s="172" t="s">
        <v>30</v>
      </c>
      <c r="C37" s="173"/>
      <c r="D37" s="173"/>
      <c r="E37" s="173"/>
      <c r="F37" s="173"/>
      <c r="G37" s="213"/>
      <c r="H37" s="214"/>
      <c r="I37" s="174">
        <f>I31*0.15</f>
        <v>3.1380000000000003</v>
      </c>
      <c r="J37" s="175"/>
      <c r="K37" s="6"/>
      <c r="N37" s="172" t="s">
        <v>30</v>
      </c>
      <c r="O37" s="173"/>
      <c r="P37" s="173"/>
      <c r="Q37" s="173"/>
      <c r="R37" s="173"/>
      <c r="S37" s="213"/>
      <c r="T37" s="214"/>
      <c r="U37" s="174">
        <f>U31*0.15</f>
        <v>1.6395</v>
      </c>
      <c r="V37" s="175"/>
      <c r="W37" s="4"/>
      <c r="X37" s="6"/>
      <c r="AA37" s="172" t="s">
        <v>30</v>
      </c>
      <c r="AB37" s="173"/>
      <c r="AC37" s="173"/>
      <c r="AD37" s="173"/>
      <c r="AE37" s="173"/>
      <c r="AF37" s="213"/>
      <c r="AG37" s="214"/>
      <c r="AH37" s="42">
        <f>AH31*0.15</f>
        <v>4.5988860866429446</v>
      </c>
      <c r="AI37" s="38"/>
      <c r="AJ37" s="4"/>
    </row>
    <row r="38" spans="2:39" ht="15.75">
      <c r="B38" s="172" t="s">
        <v>31</v>
      </c>
      <c r="C38" s="173"/>
      <c r="D38" s="173"/>
      <c r="E38" s="173"/>
      <c r="F38" s="173"/>
      <c r="G38" s="213"/>
      <c r="H38" s="214"/>
      <c r="I38" s="174">
        <f>I31*0.5</f>
        <v>10.46</v>
      </c>
      <c r="J38" s="175"/>
      <c r="K38" s="6"/>
      <c r="N38" s="172" t="s">
        <v>31</v>
      </c>
      <c r="O38" s="173"/>
      <c r="P38" s="173"/>
      <c r="Q38" s="173"/>
      <c r="R38" s="173"/>
      <c r="S38" s="213"/>
      <c r="T38" s="214"/>
      <c r="U38" s="174">
        <f>U31*0.5</f>
        <v>5.4649999999999999</v>
      </c>
      <c r="V38" s="175"/>
      <c r="W38" s="4"/>
      <c r="X38" s="6"/>
      <c r="AA38" s="172" t="s">
        <v>31</v>
      </c>
      <c r="AB38" s="173"/>
      <c r="AC38" s="173"/>
      <c r="AD38" s="173"/>
      <c r="AE38" s="173"/>
      <c r="AF38" s="213"/>
      <c r="AG38" s="214"/>
      <c r="AH38" s="42">
        <v>15.17</v>
      </c>
      <c r="AI38" s="38"/>
      <c r="AJ38" s="4"/>
    </row>
    <row r="39" spans="2:39" ht="15.75">
      <c r="B39" s="172" t="s">
        <v>33</v>
      </c>
      <c r="C39" s="173"/>
      <c r="D39" s="173"/>
      <c r="E39" s="173"/>
      <c r="F39" s="173"/>
      <c r="G39" s="165"/>
      <c r="H39" s="166"/>
      <c r="I39" s="174">
        <f>I31</f>
        <v>20.92</v>
      </c>
      <c r="J39" s="175"/>
      <c r="K39" s="6"/>
      <c r="N39" s="172" t="s">
        <v>33</v>
      </c>
      <c r="O39" s="173"/>
      <c r="P39" s="173"/>
      <c r="Q39" s="173"/>
      <c r="R39" s="173"/>
      <c r="S39" s="165"/>
      <c r="T39" s="166"/>
      <c r="U39" s="174">
        <f>U31</f>
        <v>10.93</v>
      </c>
      <c r="V39" s="175"/>
      <c r="W39" s="4"/>
      <c r="X39" s="6"/>
      <c r="AA39" s="172" t="s">
        <v>33</v>
      </c>
      <c r="AB39" s="173"/>
      <c r="AC39" s="173"/>
      <c r="AD39" s="173"/>
      <c r="AE39" s="173"/>
      <c r="AF39" s="165"/>
      <c r="AG39" s="166"/>
      <c r="AH39" s="42">
        <f>AH31</f>
        <v>30.659240577619634</v>
      </c>
      <c r="AI39" s="38"/>
      <c r="AJ39" s="4"/>
    </row>
    <row r="40" spans="2:39" ht="15.75">
      <c r="B40" s="172" t="s">
        <v>34</v>
      </c>
      <c r="C40" s="173"/>
      <c r="D40" s="173"/>
      <c r="E40" s="173"/>
      <c r="F40" s="173"/>
      <c r="G40" s="165"/>
      <c r="H40" s="166"/>
      <c r="I40" s="174">
        <f>I31+I37</f>
        <v>24.058000000000003</v>
      </c>
      <c r="J40" s="175"/>
      <c r="K40" s="6"/>
      <c r="N40" s="172" t="s">
        <v>34</v>
      </c>
      <c r="O40" s="173"/>
      <c r="P40" s="173"/>
      <c r="Q40" s="173"/>
      <c r="R40" s="173"/>
      <c r="S40" s="165"/>
      <c r="T40" s="166"/>
      <c r="U40" s="174">
        <f>U31+U37</f>
        <v>12.5695</v>
      </c>
      <c r="V40" s="175"/>
      <c r="W40" s="4"/>
      <c r="X40" s="6"/>
      <c r="AA40" s="172" t="s">
        <v>34</v>
      </c>
      <c r="AB40" s="173"/>
      <c r="AC40" s="173"/>
      <c r="AD40" s="173"/>
      <c r="AE40" s="173"/>
      <c r="AF40" s="165"/>
      <c r="AG40" s="166"/>
      <c r="AH40" s="42">
        <f>AH31+AH37</f>
        <v>35.258126664262576</v>
      </c>
      <c r="AI40" s="38"/>
      <c r="AJ40" s="4"/>
    </row>
    <row r="41" spans="2:39" ht="15.75">
      <c r="B41" s="172" t="s">
        <v>35</v>
      </c>
      <c r="C41" s="173"/>
      <c r="D41" s="173"/>
      <c r="E41" s="173"/>
      <c r="F41" s="173"/>
      <c r="G41" s="165"/>
      <c r="H41" s="166"/>
      <c r="I41" s="174">
        <f>I31+I38</f>
        <v>31.380000000000003</v>
      </c>
      <c r="J41" s="175"/>
      <c r="K41" s="6"/>
      <c r="N41" s="172" t="s">
        <v>35</v>
      </c>
      <c r="O41" s="173"/>
      <c r="P41" s="173"/>
      <c r="Q41" s="173"/>
      <c r="R41" s="173"/>
      <c r="S41" s="165"/>
      <c r="T41" s="166"/>
      <c r="U41" s="174">
        <f>U31+U38</f>
        <v>16.395</v>
      </c>
      <c r="V41" s="175"/>
      <c r="W41" s="4"/>
      <c r="X41" s="6"/>
      <c r="AA41" s="172" t="s">
        <v>35</v>
      </c>
      <c r="AB41" s="173"/>
      <c r="AC41" s="173"/>
      <c r="AD41" s="173"/>
      <c r="AE41" s="173"/>
      <c r="AF41" s="165"/>
      <c r="AG41" s="166"/>
      <c r="AH41" s="42">
        <v>45.83</v>
      </c>
      <c r="AI41" s="38"/>
      <c r="AJ41" s="4"/>
    </row>
    <row r="42" spans="2:39" ht="15.75">
      <c r="B42" s="172" t="s">
        <v>36</v>
      </c>
      <c r="C42" s="173"/>
      <c r="D42" s="173"/>
      <c r="E42" s="173"/>
      <c r="F42" s="173"/>
      <c r="G42" s="165"/>
      <c r="H42" s="166"/>
      <c r="I42" s="167">
        <f>I31*1.2</f>
        <v>25.104000000000003</v>
      </c>
      <c r="J42" s="168"/>
      <c r="K42" s="6"/>
      <c r="L42" s="14">
        <f>I42/20.92</f>
        <v>1.2</v>
      </c>
      <c r="M42" s="14"/>
      <c r="N42" s="215" t="s">
        <v>36</v>
      </c>
      <c r="O42" s="216"/>
      <c r="P42" s="216"/>
      <c r="Q42" s="216"/>
      <c r="R42" s="216"/>
      <c r="S42" s="174"/>
      <c r="T42" s="217"/>
      <c r="U42" s="167">
        <f>U31*1.2</f>
        <v>13.116</v>
      </c>
      <c r="V42" s="168"/>
      <c r="W42" s="15"/>
      <c r="X42" s="6"/>
      <c r="Y42" s="14">
        <f>U42/11.42</f>
        <v>1.1485113835376533</v>
      </c>
      <c r="Z42" s="14"/>
      <c r="AA42" s="215" t="s">
        <v>36</v>
      </c>
      <c r="AB42" s="216"/>
      <c r="AC42" s="216"/>
      <c r="AD42" s="216"/>
      <c r="AE42" s="216"/>
      <c r="AF42" s="174"/>
      <c r="AG42" s="217"/>
      <c r="AH42" s="41">
        <f>AH31*1.2</f>
        <v>36.791088693143557</v>
      </c>
      <c r="AI42" s="9"/>
      <c r="AJ42" s="15"/>
      <c r="AK42" s="14">
        <f>AH42/34.51</f>
        <v>1.06609935361181</v>
      </c>
    </row>
    <row r="43" spans="2:39" ht="15.75">
      <c r="B43" s="172" t="s">
        <v>37</v>
      </c>
      <c r="C43" s="173"/>
      <c r="D43" s="173"/>
      <c r="E43" s="173"/>
      <c r="F43" s="173"/>
      <c r="G43" s="165"/>
      <c r="H43" s="166"/>
      <c r="I43" s="167">
        <f>I31*1.15*1.2</f>
        <v>28.869599999999998</v>
      </c>
      <c r="J43" s="168"/>
      <c r="K43" s="6"/>
      <c r="N43" s="172" t="s">
        <v>37</v>
      </c>
      <c r="O43" s="173"/>
      <c r="P43" s="173"/>
      <c r="Q43" s="173"/>
      <c r="R43" s="173"/>
      <c r="S43" s="165"/>
      <c r="T43" s="166"/>
      <c r="U43" s="167">
        <f>U40*1.2</f>
        <v>15.083399999999999</v>
      </c>
      <c r="V43" s="168"/>
      <c r="W43" s="4"/>
      <c r="X43" s="6"/>
      <c r="AA43" s="172" t="s">
        <v>37</v>
      </c>
      <c r="AB43" s="173"/>
      <c r="AC43" s="173"/>
      <c r="AD43" s="173"/>
      <c r="AE43" s="173"/>
      <c r="AF43" s="165"/>
      <c r="AG43" s="166"/>
      <c r="AH43" s="41">
        <f>AH40*1.2</f>
        <v>42.309751997115093</v>
      </c>
      <c r="AI43" s="9"/>
      <c r="AJ43" s="4"/>
      <c r="AK43">
        <f>375.4-368.8</f>
        <v>6.5999999999999659</v>
      </c>
    </row>
    <row r="44" spans="2:39" ht="16.5" thickBot="1">
      <c r="B44" s="169" t="s">
        <v>38</v>
      </c>
      <c r="C44" s="170"/>
      <c r="D44" s="170"/>
      <c r="E44" s="170"/>
      <c r="F44" s="170"/>
      <c r="G44" s="171"/>
      <c r="H44" s="171"/>
      <c r="I44" s="162">
        <f>I41*1.2</f>
        <v>37.655999999999999</v>
      </c>
      <c r="J44" s="163"/>
      <c r="K44" s="6"/>
      <c r="N44" s="169" t="s">
        <v>38</v>
      </c>
      <c r="O44" s="170"/>
      <c r="P44" s="170"/>
      <c r="Q44" s="170"/>
      <c r="R44" s="170"/>
      <c r="S44" s="171"/>
      <c r="T44" s="171"/>
      <c r="U44" s="218">
        <f>16.4*1.2</f>
        <v>19.679999999999996</v>
      </c>
      <c r="V44" s="219"/>
      <c r="W44" s="4"/>
      <c r="X44" s="6"/>
      <c r="AA44" s="169" t="s">
        <v>38</v>
      </c>
      <c r="AB44" s="170"/>
      <c r="AC44" s="170"/>
      <c r="AD44" s="170"/>
      <c r="AE44" s="170"/>
      <c r="AF44" s="171"/>
      <c r="AG44" s="171"/>
      <c r="AH44" s="28">
        <v>55</v>
      </c>
      <c r="AI44" s="9"/>
      <c r="AJ44" s="4"/>
      <c r="AM44">
        <f>12*1.2</f>
        <v>14.399999999999999</v>
      </c>
    </row>
    <row r="45" spans="2:39" ht="15.75" hidden="1">
      <c r="B45" s="7"/>
      <c r="C45" s="7"/>
      <c r="D45" s="7"/>
      <c r="E45" s="7"/>
      <c r="F45" s="7"/>
      <c r="G45" s="8"/>
      <c r="H45" s="8"/>
      <c r="I45" s="9"/>
      <c r="J45" s="9"/>
      <c r="K45" s="6"/>
      <c r="N45" s="7"/>
      <c r="O45" s="7"/>
      <c r="P45" s="7"/>
      <c r="Q45" s="7"/>
      <c r="R45" s="7"/>
      <c r="S45" s="8"/>
      <c r="T45" s="8"/>
      <c r="U45" s="9"/>
      <c r="V45" s="9"/>
      <c r="W45" s="4"/>
      <c r="X45" s="6"/>
      <c r="AA45" s="7"/>
      <c r="AB45" s="7"/>
      <c r="AC45" s="7"/>
      <c r="AD45" s="7"/>
      <c r="AE45" s="7"/>
      <c r="AF45" s="8"/>
      <c r="AG45" s="8"/>
      <c r="AH45" s="9"/>
      <c r="AI45" s="9"/>
      <c r="AJ45" s="4"/>
    </row>
    <row r="46" spans="2:39" ht="3.75" customHeight="1">
      <c r="B46" s="4"/>
      <c r="C46" s="4"/>
      <c r="D46" s="4"/>
      <c r="E46" s="4"/>
      <c r="F46" s="4"/>
      <c r="G46" s="5"/>
      <c r="H46" s="5"/>
      <c r="I46" s="4"/>
      <c r="J46" s="4"/>
      <c r="K46" s="6"/>
      <c r="N46" s="4"/>
      <c r="O46" s="4"/>
      <c r="P46" s="4"/>
      <c r="Q46" s="4"/>
      <c r="R46" s="4"/>
      <c r="S46" s="5"/>
      <c r="T46" s="5"/>
      <c r="U46" s="4"/>
      <c r="V46" s="4"/>
      <c r="W46" s="4"/>
      <c r="X46" s="6"/>
      <c r="Y46">
        <f>Y45*1.2</f>
        <v>0</v>
      </c>
      <c r="AA46" s="4"/>
      <c r="AB46" s="4"/>
      <c r="AC46" s="4"/>
      <c r="AD46" s="4"/>
      <c r="AE46" s="4"/>
      <c r="AF46" s="5"/>
      <c r="AG46" s="5"/>
      <c r="AH46" s="4"/>
      <c r="AI46" s="4"/>
      <c r="AJ46" s="4"/>
    </row>
    <row r="47" spans="2:39" ht="31.5" customHeight="1">
      <c r="B47" s="164" t="s">
        <v>49</v>
      </c>
      <c r="C47" s="164"/>
      <c r="D47" s="164"/>
      <c r="E47" s="164"/>
      <c r="F47" s="164"/>
      <c r="G47" s="164"/>
      <c r="H47" s="164"/>
      <c r="I47" s="164"/>
      <c r="J47" s="164"/>
      <c r="K47" s="164"/>
      <c r="N47" s="164" t="s">
        <v>48</v>
      </c>
      <c r="O47" s="164"/>
      <c r="P47" s="164"/>
      <c r="Q47" s="164"/>
      <c r="R47" s="164"/>
      <c r="S47" s="164"/>
      <c r="T47" s="164"/>
      <c r="U47" s="164"/>
      <c r="V47" s="164"/>
      <c r="W47" s="164"/>
      <c r="X47" s="16"/>
      <c r="AA47" s="29" t="s">
        <v>43</v>
      </c>
      <c r="AB47" s="29"/>
      <c r="AC47" s="29"/>
      <c r="AD47" s="29"/>
      <c r="AE47" s="29"/>
      <c r="AF47" s="29"/>
      <c r="AG47" s="29"/>
      <c r="AH47" s="29"/>
      <c r="AI47" s="29"/>
      <c r="AJ47" s="29"/>
    </row>
    <row r="48" spans="2:39" ht="15.75">
      <c r="B48" s="4"/>
      <c r="C48" s="4"/>
      <c r="D48" s="4"/>
      <c r="E48" s="4"/>
      <c r="F48" s="4"/>
      <c r="G48" s="5"/>
      <c r="H48" s="5"/>
      <c r="I48" s="4"/>
      <c r="J48" s="4"/>
      <c r="K48" s="6"/>
      <c r="S48" s="10"/>
      <c r="T48" s="10"/>
      <c r="AF48" s="10"/>
      <c r="AG48" s="10"/>
    </row>
    <row r="49" spans="2:33" ht="15.75">
      <c r="B49" s="4"/>
      <c r="C49" s="4"/>
      <c r="D49" s="4"/>
      <c r="E49" s="4"/>
      <c r="F49" s="4"/>
      <c r="G49" s="5"/>
      <c r="H49" s="5"/>
      <c r="I49" s="4"/>
      <c r="J49" s="4"/>
      <c r="K49" s="6"/>
      <c r="P49" s="10">
        <f>G45+S45+AF45</f>
        <v>0</v>
      </c>
      <c r="S49" s="10"/>
      <c r="T49" s="10"/>
      <c r="AF49" s="10"/>
      <c r="AG49" s="10"/>
    </row>
  </sheetData>
  <mergeCells count="310">
    <mergeCell ref="B47:K47"/>
    <mergeCell ref="N47:W47"/>
    <mergeCell ref="AF43:AG43"/>
    <mergeCell ref="B44:F44"/>
    <mergeCell ref="G44:H44"/>
    <mergeCell ref="I44:J44"/>
    <mergeCell ref="N44:R44"/>
    <mergeCell ref="S44:T44"/>
    <mergeCell ref="U44:V44"/>
    <mergeCell ref="AA44:AE44"/>
    <mergeCell ref="AF44:AG44"/>
    <mergeCell ref="AA42:AE42"/>
    <mergeCell ref="AF42:AG42"/>
    <mergeCell ref="B43:F43"/>
    <mergeCell ref="G43:H43"/>
    <mergeCell ref="I43:J43"/>
    <mergeCell ref="N43:R43"/>
    <mergeCell ref="S43:T43"/>
    <mergeCell ref="U43:V43"/>
    <mergeCell ref="AA43:AE43"/>
    <mergeCell ref="B42:F42"/>
    <mergeCell ref="G42:H42"/>
    <mergeCell ref="I42:J42"/>
    <mergeCell ref="N42:R42"/>
    <mergeCell ref="S42:T42"/>
    <mergeCell ref="U42:V42"/>
    <mergeCell ref="B41:F41"/>
    <mergeCell ref="G41:H41"/>
    <mergeCell ref="I41:J41"/>
    <mergeCell ref="N41:R41"/>
    <mergeCell ref="S41:T41"/>
    <mergeCell ref="U41:V41"/>
    <mergeCell ref="AA41:AE41"/>
    <mergeCell ref="AF41:AG41"/>
    <mergeCell ref="B40:F40"/>
    <mergeCell ref="G40:H40"/>
    <mergeCell ref="I40:J40"/>
    <mergeCell ref="N40:R40"/>
    <mergeCell ref="S40:T40"/>
    <mergeCell ref="U40:V40"/>
    <mergeCell ref="AA40:AE40"/>
    <mergeCell ref="AF40:AG40"/>
    <mergeCell ref="AA38:AE38"/>
    <mergeCell ref="AF38:AG38"/>
    <mergeCell ref="B39:F39"/>
    <mergeCell ref="G39:H39"/>
    <mergeCell ref="I39:J39"/>
    <mergeCell ref="N39:R39"/>
    <mergeCell ref="S39:T39"/>
    <mergeCell ref="U39:V39"/>
    <mergeCell ref="AA39:AE39"/>
    <mergeCell ref="B38:F38"/>
    <mergeCell ref="G38:H38"/>
    <mergeCell ref="I38:J38"/>
    <mergeCell ref="N38:R38"/>
    <mergeCell ref="S38:T38"/>
    <mergeCell ref="U38:V38"/>
    <mergeCell ref="AF39:AG39"/>
    <mergeCell ref="B37:F37"/>
    <mergeCell ref="G37:H37"/>
    <mergeCell ref="I37:J37"/>
    <mergeCell ref="N37:R37"/>
    <mergeCell ref="S37:T37"/>
    <mergeCell ref="U37:V37"/>
    <mergeCell ref="AA37:AE37"/>
    <mergeCell ref="AF37:AG37"/>
    <mergeCell ref="B36:F36"/>
    <mergeCell ref="G36:H36"/>
    <mergeCell ref="I36:J36"/>
    <mergeCell ref="N36:R36"/>
    <mergeCell ref="S36:T36"/>
    <mergeCell ref="U36:V36"/>
    <mergeCell ref="AA36:AE36"/>
    <mergeCell ref="AF36:AG36"/>
    <mergeCell ref="AA34:AE34"/>
    <mergeCell ref="AF34:AG34"/>
    <mergeCell ref="B35:F35"/>
    <mergeCell ref="G35:H35"/>
    <mergeCell ref="I35:J35"/>
    <mergeCell ref="N35:R35"/>
    <mergeCell ref="S35:T35"/>
    <mergeCell ref="U35:V35"/>
    <mergeCell ref="AA35:AE35"/>
    <mergeCell ref="B34:F34"/>
    <mergeCell ref="G34:H34"/>
    <mergeCell ref="I34:J34"/>
    <mergeCell ref="N34:R34"/>
    <mergeCell ref="S34:T34"/>
    <mergeCell ref="U34:V34"/>
    <mergeCell ref="AF35:AG35"/>
    <mergeCell ref="B33:F33"/>
    <mergeCell ref="G33:H33"/>
    <mergeCell ref="I33:J33"/>
    <mergeCell ref="N33:R33"/>
    <mergeCell ref="S33:T33"/>
    <mergeCell ref="U33:V33"/>
    <mergeCell ref="AA33:AE33"/>
    <mergeCell ref="AF33:AG33"/>
    <mergeCell ref="B32:F32"/>
    <mergeCell ref="G32:H32"/>
    <mergeCell ref="I32:J32"/>
    <mergeCell ref="N32:R32"/>
    <mergeCell ref="S32:T32"/>
    <mergeCell ref="U32:V32"/>
    <mergeCell ref="AA32:AE32"/>
    <mergeCell ref="AF32:AG32"/>
    <mergeCell ref="AA30:AE30"/>
    <mergeCell ref="AF30:AG30"/>
    <mergeCell ref="B31:F31"/>
    <mergeCell ref="G31:H31"/>
    <mergeCell ref="I31:J31"/>
    <mergeCell ref="N31:R31"/>
    <mergeCell ref="S31:T31"/>
    <mergeCell ref="U31:V31"/>
    <mergeCell ref="AA31:AE31"/>
    <mergeCell ref="B30:F30"/>
    <mergeCell ref="G30:H30"/>
    <mergeCell ref="I30:J30"/>
    <mergeCell ref="N30:R30"/>
    <mergeCell ref="S30:T30"/>
    <mergeCell ref="U30:V30"/>
    <mergeCell ref="AF31:AG31"/>
    <mergeCell ref="B29:F29"/>
    <mergeCell ref="G29:H29"/>
    <mergeCell ref="I29:J29"/>
    <mergeCell ref="N29:R29"/>
    <mergeCell ref="S29:T29"/>
    <mergeCell ref="U29:V29"/>
    <mergeCell ref="AA29:AE29"/>
    <mergeCell ref="AF29:AG29"/>
    <mergeCell ref="B28:F28"/>
    <mergeCell ref="G28:H28"/>
    <mergeCell ref="I28:J28"/>
    <mergeCell ref="N28:R28"/>
    <mergeCell ref="S28:T28"/>
    <mergeCell ref="U28:V28"/>
    <mergeCell ref="AA28:AE28"/>
    <mergeCell ref="AF28:AG28"/>
    <mergeCell ref="AA26:AE26"/>
    <mergeCell ref="AF26:AG26"/>
    <mergeCell ref="B27:F27"/>
    <mergeCell ref="G27:H27"/>
    <mergeCell ref="I27:J27"/>
    <mergeCell ref="N27:R27"/>
    <mergeCell ref="S27:T27"/>
    <mergeCell ref="U27:V27"/>
    <mergeCell ref="AA27:AE27"/>
    <mergeCell ref="B26:F26"/>
    <mergeCell ref="G26:H26"/>
    <mergeCell ref="I26:J26"/>
    <mergeCell ref="N26:R26"/>
    <mergeCell ref="S26:T26"/>
    <mergeCell ref="U26:V26"/>
    <mergeCell ref="AF27:AG27"/>
    <mergeCell ref="B25:F25"/>
    <mergeCell ref="G25:H25"/>
    <mergeCell ref="I25:J25"/>
    <mergeCell ref="N25:R25"/>
    <mergeCell ref="S25:T25"/>
    <mergeCell ref="U25:V25"/>
    <mergeCell ref="AA25:AE25"/>
    <mergeCell ref="AF25:AG25"/>
    <mergeCell ref="B24:F24"/>
    <mergeCell ref="G24:H24"/>
    <mergeCell ref="I24:J24"/>
    <mergeCell ref="N24:R24"/>
    <mergeCell ref="S24:T24"/>
    <mergeCell ref="U24:V24"/>
    <mergeCell ref="AA24:AE24"/>
    <mergeCell ref="AF24:AG24"/>
    <mergeCell ref="AA22:AE22"/>
    <mergeCell ref="AF22:AG22"/>
    <mergeCell ref="B23:F23"/>
    <mergeCell ref="G23:H23"/>
    <mergeCell ref="I23:J23"/>
    <mergeCell ref="N23:R23"/>
    <mergeCell ref="S23:T23"/>
    <mergeCell ref="U23:V23"/>
    <mergeCell ref="AA23:AE23"/>
    <mergeCell ref="B22:F22"/>
    <mergeCell ref="G22:H22"/>
    <mergeCell ref="I22:J22"/>
    <mergeCell ref="N22:R22"/>
    <mergeCell ref="S22:T22"/>
    <mergeCell ref="U22:V22"/>
    <mergeCell ref="AF23:AG23"/>
    <mergeCell ref="B21:F21"/>
    <mergeCell ref="G21:H21"/>
    <mergeCell ref="I21:J21"/>
    <mergeCell ref="N21:R21"/>
    <mergeCell ref="S21:T21"/>
    <mergeCell ref="U21:V21"/>
    <mergeCell ref="AA21:AE21"/>
    <mergeCell ref="AF21:AG21"/>
    <mergeCell ref="B20:F20"/>
    <mergeCell ref="G20:H20"/>
    <mergeCell ref="I20:J20"/>
    <mergeCell ref="N20:R20"/>
    <mergeCell ref="S20:T20"/>
    <mergeCell ref="U20:V20"/>
    <mergeCell ref="AA20:AE20"/>
    <mergeCell ref="AF20:AG20"/>
    <mergeCell ref="AA18:AE18"/>
    <mergeCell ref="AF18:AG18"/>
    <mergeCell ref="B19:F19"/>
    <mergeCell ref="G19:H19"/>
    <mergeCell ref="I19:J19"/>
    <mergeCell ref="N19:R19"/>
    <mergeCell ref="S19:T19"/>
    <mergeCell ref="U19:V19"/>
    <mergeCell ref="AA19:AE19"/>
    <mergeCell ref="B18:F18"/>
    <mergeCell ref="G18:H18"/>
    <mergeCell ref="I18:J18"/>
    <mergeCell ref="N18:R18"/>
    <mergeCell ref="S18:T18"/>
    <mergeCell ref="U18:V18"/>
    <mergeCell ref="AF19:AG19"/>
    <mergeCell ref="B17:F17"/>
    <mergeCell ref="G17:H17"/>
    <mergeCell ref="I17:J17"/>
    <mergeCell ref="N17:R17"/>
    <mergeCell ref="S17:T17"/>
    <mergeCell ref="U17:V17"/>
    <mergeCell ref="AA17:AE17"/>
    <mergeCell ref="AF17:AG17"/>
    <mergeCell ref="B16:F16"/>
    <mergeCell ref="G16:H16"/>
    <mergeCell ref="I16:J16"/>
    <mergeCell ref="N16:R16"/>
    <mergeCell ref="S16:T16"/>
    <mergeCell ref="U16:V16"/>
    <mergeCell ref="AA16:AE16"/>
    <mergeCell ref="AF16:AG16"/>
    <mergeCell ref="AA14:AE14"/>
    <mergeCell ref="AF14:AG14"/>
    <mergeCell ref="B15:F15"/>
    <mergeCell ref="G15:H15"/>
    <mergeCell ref="I15:J15"/>
    <mergeCell ref="N15:R15"/>
    <mergeCell ref="S15:T15"/>
    <mergeCell ref="U15:V15"/>
    <mergeCell ref="AA15:AE15"/>
    <mergeCell ref="B14:F14"/>
    <mergeCell ref="G14:H14"/>
    <mergeCell ref="I14:J14"/>
    <mergeCell ref="N14:R14"/>
    <mergeCell ref="S14:T14"/>
    <mergeCell ref="U14:V14"/>
    <mergeCell ref="AF15:AG15"/>
    <mergeCell ref="U13:V13"/>
    <mergeCell ref="AA13:AE13"/>
    <mergeCell ref="AF13:AG13"/>
    <mergeCell ref="B12:F12"/>
    <mergeCell ref="G12:H12"/>
    <mergeCell ref="I12:J12"/>
    <mergeCell ref="N12:R12"/>
    <mergeCell ref="S12:T12"/>
    <mergeCell ref="U12:V12"/>
    <mergeCell ref="AA12:AE12"/>
    <mergeCell ref="AF12:AG12"/>
    <mergeCell ref="G9:H9"/>
    <mergeCell ref="I9:J9"/>
    <mergeCell ref="N9:R9"/>
    <mergeCell ref="B13:F13"/>
    <mergeCell ref="G13:H13"/>
    <mergeCell ref="I13:J13"/>
    <mergeCell ref="N13:R13"/>
    <mergeCell ref="S13:T13"/>
    <mergeCell ref="B11:F11"/>
    <mergeCell ref="G11:H11"/>
    <mergeCell ref="I11:J11"/>
    <mergeCell ref="N11:R11"/>
    <mergeCell ref="S11:T11"/>
    <mergeCell ref="S9:T9"/>
    <mergeCell ref="U11:V11"/>
    <mergeCell ref="AA11:AE11"/>
    <mergeCell ref="AF11:AG11"/>
    <mergeCell ref="B10:F10"/>
    <mergeCell ref="G10:H10"/>
    <mergeCell ref="I10:J10"/>
    <mergeCell ref="N10:R10"/>
    <mergeCell ref="S10:T10"/>
    <mergeCell ref="U10:V10"/>
    <mergeCell ref="AA10:AE10"/>
    <mergeCell ref="AF10:AG10"/>
    <mergeCell ref="U9:V9"/>
    <mergeCell ref="AA9:AE9"/>
    <mergeCell ref="AF9:AG9"/>
    <mergeCell ref="C2:J2"/>
    <mergeCell ref="O2:V2"/>
    <mergeCell ref="AB2:AH2"/>
    <mergeCell ref="O3:V3"/>
    <mergeCell ref="AB3:AH3"/>
    <mergeCell ref="A3:K3"/>
    <mergeCell ref="B6:F8"/>
    <mergeCell ref="G6:J7"/>
    <mergeCell ref="N6:R8"/>
    <mergeCell ref="S6:V7"/>
    <mergeCell ref="AA6:AE8"/>
    <mergeCell ref="AF6:AH7"/>
    <mergeCell ref="G8:H8"/>
    <mergeCell ref="I8:J8"/>
    <mergeCell ref="S8:T8"/>
    <mergeCell ref="U8:V8"/>
    <mergeCell ref="AF8:AG8"/>
    <mergeCell ref="N4:X4"/>
    <mergeCell ref="B4:J4"/>
    <mergeCell ref="AA4:AH4"/>
    <mergeCell ref="B9:F9"/>
  </mergeCells>
  <pageMargins left="0.2" right="0.2" top="0.2" bottom="0.22" header="0.2" footer="0.22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52"/>
  <sheetViews>
    <sheetView tabSelected="1" topLeftCell="V4" zoomScale="115" zoomScaleNormal="115" workbookViewId="0">
      <selection activeCell="N47" sqref="N47:T47"/>
    </sheetView>
  </sheetViews>
  <sheetFormatPr defaultRowHeight="15"/>
  <cols>
    <col min="1" max="1" width="10.140625" customWidth="1"/>
    <col min="5" max="5" width="5.42578125" customWidth="1"/>
    <col min="6" max="6" width="19.28515625" customWidth="1"/>
    <col min="7" max="7" width="17" style="14" customWidth="1"/>
    <col min="8" max="8" width="10.42578125" style="14" hidden="1" customWidth="1"/>
    <col min="9" max="9" width="10.28515625" style="14" hidden="1" customWidth="1"/>
    <col min="10" max="10" width="8" style="14" customWidth="1"/>
    <col min="11" max="11" width="5.7109375" customWidth="1"/>
    <col min="12" max="12" width="4.28515625" customWidth="1"/>
    <col min="13" max="13" width="7.140625" style="77" customWidth="1"/>
    <col min="14" max="14" width="10.85546875" customWidth="1"/>
    <col min="17" max="17" width="8" customWidth="1"/>
    <col min="18" max="18" width="16.28515625" customWidth="1"/>
    <col min="19" max="19" width="16.7109375" customWidth="1"/>
    <col min="20" max="20" width="16.140625" style="71" hidden="1" customWidth="1"/>
    <col min="21" max="21" width="17.42578125" style="59" hidden="1" customWidth="1"/>
    <col min="22" max="22" width="9.140625" style="51" customWidth="1"/>
    <col min="23" max="23" width="12.42578125" style="134" customWidth="1"/>
    <col min="27" max="27" width="6.42578125" customWidth="1"/>
    <col min="28" max="28" width="13.42578125" customWidth="1"/>
    <col min="29" max="29" width="14.7109375" customWidth="1"/>
    <col min="30" max="30" width="10.5703125" hidden="1" customWidth="1"/>
    <col min="31" max="31" width="10.28515625" hidden="1" customWidth="1"/>
    <col min="32" max="35" width="9.140625" style="134" customWidth="1"/>
    <col min="36" max="36" width="9.140625" style="134"/>
  </cols>
  <sheetData>
    <row r="1" spans="1:39">
      <c r="B1" s="1"/>
      <c r="C1" s="1"/>
      <c r="D1" s="1"/>
      <c r="E1" s="1"/>
      <c r="F1" s="2"/>
      <c r="G1" s="55"/>
      <c r="H1" s="55"/>
      <c r="I1" s="55"/>
      <c r="J1" s="55"/>
      <c r="N1" s="1"/>
      <c r="O1" s="1"/>
      <c r="P1" s="1"/>
      <c r="Q1" s="1"/>
      <c r="R1" s="2"/>
      <c r="S1" s="1"/>
      <c r="T1" s="68"/>
      <c r="U1" s="57"/>
      <c r="X1" s="1"/>
      <c r="Y1" s="1"/>
      <c r="Z1" s="1"/>
      <c r="AA1" s="1"/>
      <c r="AB1" s="2"/>
      <c r="AC1" s="1"/>
      <c r="AD1" s="1"/>
      <c r="AE1" s="1"/>
      <c r="AF1" s="153"/>
    </row>
    <row r="2" spans="1:39" ht="18.75">
      <c r="A2" s="24"/>
      <c r="B2" s="208" t="s">
        <v>0</v>
      </c>
      <c r="C2" s="208"/>
      <c r="D2" s="208"/>
      <c r="E2" s="208"/>
      <c r="F2" s="208"/>
      <c r="G2" s="208"/>
      <c r="H2" s="208"/>
      <c r="I2" s="208"/>
      <c r="J2" s="98"/>
      <c r="K2" s="125"/>
      <c r="L2" s="125"/>
      <c r="M2" s="128"/>
      <c r="N2" s="208" t="s">
        <v>0</v>
      </c>
      <c r="O2" s="208"/>
      <c r="P2" s="208"/>
      <c r="Q2" s="208"/>
      <c r="R2" s="208"/>
      <c r="S2" s="208"/>
      <c r="T2" s="125"/>
      <c r="U2" s="125"/>
      <c r="V2" s="52"/>
      <c r="W2" s="208" t="s">
        <v>0</v>
      </c>
      <c r="X2" s="208"/>
      <c r="Y2" s="208"/>
      <c r="Z2" s="208"/>
      <c r="AA2" s="208"/>
      <c r="AB2" s="208"/>
      <c r="AC2" s="208"/>
      <c r="AD2" s="98"/>
      <c r="AE2" s="98"/>
      <c r="AF2" s="153"/>
    </row>
    <row r="3" spans="1:39" ht="18.75">
      <c r="A3" s="208" t="s">
        <v>47</v>
      </c>
      <c r="B3" s="208"/>
      <c r="C3" s="208"/>
      <c r="D3" s="208"/>
      <c r="E3" s="208"/>
      <c r="F3" s="208"/>
      <c r="G3" s="208"/>
      <c r="H3" s="208"/>
      <c r="I3" s="208"/>
      <c r="J3" s="98"/>
      <c r="K3" s="125"/>
      <c r="L3" s="125"/>
      <c r="M3" s="128"/>
      <c r="N3" s="208" t="s">
        <v>58</v>
      </c>
      <c r="O3" s="208"/>
      <c r="P3" s="208"/>
      <c r="Q3" s="208"/>
      <c r="R3" s="208"/>
      <c r="S3" s="208"/>
      <c r="T3" s="125"/>
      <c r="U3" s="125"/>
      <c r="V3" s="53"/>
      <c r="W3" s="208" t="s">
        <v>3</v>
      </c>
      <c r="X3" s="208"/>
      <c r="Y3" s="208"/>
      <c r="Z3" s="208"/>
      <c r="AA3" s="208"/>
      <c r="AB3" s="208"/>
      <c r="AC3" s="208"/>
      <c r="AD3" s="98"/>
      <c r="AE3" s="98"/>
      <c r="AF3" s="146"/>
    </row>
    <row r="4" spans="1:39" ht="36" customHeight="1">
      <c r="A4" s="44"/>
      <c r="B4" s="210" t="s">
        <v>57</v>
      </c>
      <c r="C4" s="210"/>
      <c r="D4" s="210"/>
      <c r="E4" s="210"/>
      <c r="F4" s="210"/>
      <c r="G4" s="210"/>
      <c r="H4" s="210"/>
      <c r="I4" s="210"/>
      <c r="J4" s="99"/>
      <c r="K4" s="126"/>
      <c r="L4" s="126"/>
      <c r="M4" s="129"/>
      <c r="N4" s="210" t="s">
        <v>57</v>
      </c>
      <c r="O4" s="210"/>
      <c r="P4" s="210"/>
      <c r="Q4" s="210"/>
      <c r="R4" s="210"/>
      <c r="S4" s="210"/>
      <c r="T4" s="126"/>
      <c r="U4" s="126"/>
      <c r="V4" s="54"/>
      <c r="W4" s="210" t="s">
        <v>5</v>
      </c>
      <c r="X4" s="210"/>
      <c r="Y4" s="210"/>
      <c r="Z4" s="210"/>
      <c r="AA4" s="210"/>
      <c r="AB4" s="210"/>
      <c r="AC4" s="210"/>
      <c r="AD4" s="99"/>
      <c r="AE4" s="99"/>
      <c r="AF4" s="154"/>
      <c r="AG4" s="154"/>
      <c r="AH4" s="155"/>
      <c r="AI4" s="155"/>
      <c r="AJ4" s="155"/>
      <c r="AK4" s="32"/>
      <c r="AL4" s="32"/>
      <c r="AM4" s="32"/>
    </row>
    <row r="5" spans="1:39" ht="9.75" customHeight="1" thickBot="1">
      <c r="B5" s="4"/>
      <c r="C5" s="4"/>
      <c r="D5" s="4"/>
      <c r="E5" s="4"/>
      <c r="F5" s="5"/>
      <c r="G5" s="15"/>
      <c r="H5" s="15"/>
      <c r="I5" s="15"/>
      <c r="J5" s="15"/>
      <c r="N5" s="4"/>
      <c r="O5" s="4"/>
      <c r="P5" s="4"/>
      <c r="Q5" s="4"/>
      <c r="R5" s="5"/>
      <c r="S5" s="4"/>
      <c r="T5" s="69"/>
      <c r="U5" s="58"/>
      <c r="X5" s="4"/>
      <c r="Y5" s="4"/>
      <c r="Z5" s="4"/>
      <c r="AA5" s="4"/>
      <c r="AB5" s="5"/>
      <c r="AC5" s="4"/>
      <c r="AD5" s="4"/>
      <c r="AE5" s="4"/>
      <c r="AF5" s="146"/>
    </row>
    <row r="6" spans="1:39" ht="18.75" customHeight="1">
      <c r="B6" s="192" t="s">
        <v>6</v>
      </c>
      <c r="C6" s="193"/>
      <c r="D6" s="193"/>
      <c r="E6" s="193"/>
      <c r="F6" s="198" t="s">
        <v>7</v>
      </c>
      <c r="G6" s="200"/>
      <c r="H6" s="220" t="s">
        <v>54</v>
      </c>
      <c r="I6" s="221"/>
      <c r="J6" s="115"/>
      <c r="N6" s="192" t="s">
        <v>6</v>
      </c>
      <c r="O6" s="193"/>
      <c r="P6" s="193"/>
      <c r="Q6" s="193"/>
      <c r="R6" s="198" t="s">
        <v>7</v>
      </c>
      <c r="S6" s="200"/>
      <c r="T6" s="220" t="s">
        <v>54</v>
      </c>
      <c r="U6" s="221"/>
      <c r="X6" s="192" t="s">
        <v>6</v>
      </c>
      <c r="Y6" s="193"/>
      <c r="Z6" s="193"/>
      <c r="AA6" s="193"/>
      <c r="AB6" s="198" t="s">
        <v>7</v>
      </c>
      <c r="AC6" s="200"/>
      <c r="AD6" s="220" t="s">
        <v>54</v>
      </c>
      <c r="AE6" s="221"/>
      <c r="AF6" s="146"/>
    </row>
    <row r="7" spans="1:39" ht="18.75" customHeight="1" thickBot="1">
      <c r="B7" s="195"/>
      <c r="C7" s="196"/>
      <c r="D7" s="196"/>
      <c r="E7" s="196"/>
      <c r="F7" s="201"/>
      <c r="G7" s="203"/>
      <c r="H7" s="222"/>
      <c r="I7" s="223"/>
      <c r="J7" s="115"/>
      <c r="N7" s="195"/>
      <c r="O7" s="196"/>
      <c r="P7" s="196"/>
      <c r="Q7" s="196"/>
      <c r="R7" s="201"/>
      <c r="S7" s="203"/>
      <c r="T7" s="222"/>
      <c r="U7" s="223"/>
      <c r="X7" s="195"/>
      <c r="Y7" s="196"/>
      <c r="Z7" s="196"/>
      <c r="AA7" s="196"/>
      <c r="AB7" s="201"/>
      <c r="AC7" s="203"/>
      <c r="AD7" s="222"/>
      <c r="AE7" s="223"/>
      <c r="AF7" s="146"/>
    </row>
    <row r="8" spans="1:39" ht="23.25" thickBot="1">
      <c r="B8" s="195"/>
      <c r="C8" s="196"/>
      <c r="D8" s="196"/>
      <c r="E8" s="196"/>
      <c r="F8" s="97" t="s">
        <v>8</v>
      </c>
      <c r="G8" s="130" t="s">
        <v>9</v>
      </c>
      <c r="H8" s="62" t="s">
        <v>8</v>
      </c>
      <c r="I8" s="63" t="s">
        <v>9</v>
      </c>
      <c r="J8" s="37"/>
      <c r="N8" s="195"/>
      <c r="O8" s="196"/>
      <c r="P8" s="196"/>
      <c r="Q8" s="196"/>
      <c r="R8" s="97" t="s">
        <v>8</v>
      </c>
      <c r="S8" s="40" t="s">
        <v>9</v>
      </c>
      <c r="T8" s="62" t="s">
        <v>8</v>
      </c>
      <c r="U8" s="63" t="s">
        <v>9</v>
      </c>
      <c r="X8" s="195"/>
      <c r="Y8" s="196"/>
      <c r="Z8" s="196"/>
      <c r="AA8" s="196"/>
      <c r="AB8" s="97" t="s">
        <v>8</v>
      </c>
      <c r="AC8" s="40" t="s">
        <v>9</v>
      </c>
      <c r="AD8" s="62" t="s">
        <v>8</v>
      </c>
      <c r="AE8" s="63" t="s">
        <v>9</v>
      </c>
      <c r="AF8" s="146"/>
    </row>
    <row r="9" spans="1:39" ht="18.75">
      <c r="B9" s="182" t="s">
        <v>10</v>
      </c>
      <c r="C9" s="183"/>
      <c r="D9" s="183"/>
      <c r="E9" s="183"/>
      <c r="F9" s="72">
        <f>F10+F17</f>
        <v>2077.4925091165901</v>
      </c>
      <c r="G9" s="122">
        <f>G10+G17</f>
        <v>18.068787035796433</v>
      </c>
      <c r="H9" s="78">
        <f>H10+H17</f>
        <v>2170.4743340522541</v>
      </c>
      <c r="I9" s="79">
        <f>I10+I17</f>
        <v>18.7730305140573</v>
      </c>
      <c r="J9" s="116"/>
      <c r="N9" s="182" t="s">
        <v>10</v>
      </c>
      <c r="O9" s="183"/>
      <c r="P9" s="183"/>
      <c r="Q9" s="183"/>
      <c r="R9" s="93">
        <f>R10+R17</f>
        <v>2981.0671123199795</v>
      </c>
      <c r="S9" s="41">
        <f>8.77+1.16</f>
        <v>9.93</v>
      </c>
      <c r="T9" s="101">
        <f>T10+T17</f>
        <v>2884.0378725508067</v>
      </c>
      <c r="U9" s="102">
        <f>U10+U17</f>
        <v>9.6144595751693558</v>
      </c>
      <c r="V9" s="137">
        <f>F9+R9+AB9</f>
        <v>5827.2739999999994</v>
      </c>
      <c r="W9" s="135">
        <f>F9+R9+AB9</f>
        <v>5827.2739999999994</v>
      </c>
      <c r="X9" s="182" t="s">
        <v>10</v>
      </c>
      <c r="Y9" s="183"/>
      <c r="Z9" s="183"/>
      <c r="AA9" s="183"/>
      <c r="AB9" s="93">
        <f>AB10+AB17</f>
        <v>768.71437856343016</v>
      </c>
      <c r="AC9" s="41">
        <f>AC10+AC17</f>
        <v>26.146747570184701</v>
      </c>
      <c r="AD9" s="107">
        <f>AD10+AD17</f>
        <v>598.27903092967017</v>
      </c>
      <c r="AE9" s="102">
        <f>AE10+AE17</f>
        <v>25.41</v>
      </c>
      <c r="AF9" s="147">
        <f>F9+R9+AB9</f>
        <v>5827.2739999999994</v>
      </c>
      <c r="AG9" s="160">
        <f>F9+R9+AB9</f>
        <v>5827.2739999999994</v>
      </c>
    </row>
    <row r="10" spans="1:39" ht="18.75">
      <c r="B10" s="190" t="s">
        <v>11</v>
      </c>
      <c r="C10" s="191"/>
      <c r="D10" s="191"/>
      <c r="E10" s="191"/>
      <c r="F10" s="72">
        <f>F11+F12+F13+F14+F15+F16</f>
        <v>1834.4940000000001</v>
      </c>
      <c r="G10" s="122">
        <f>G11+G12+G13+G14+G15+G16</f>
        <v>15.945756521739129</v>
      </c>
      <c r="H10" s="80">
        <f>H11+H12+H13+H14+H15+H16</f>
        <v>1916.5999999999997</v>
      </c>
      <c r="I10" s="81">
        <f>I11+I12+I13+I14+I15+I16</f>
        <v>16.659999999999997</v>
      </c>
      <c r="J10" s="119"/>
      <c r="N10" s="190" t="s">
        <v>11</v>
      </c>
      <c r="O10" s="191"/>
      <c r="P10" s="191"/>
      <c r="Q10" s="191"/>
      <c r="R10" s="93">
        <f>R11+R12+R13+R14+R15+R16</f>
        <v>2632.3799999999997</v>
      </c>
      <c r="S10" s="41">
        <f>R10/R32</f>
        <v>8.7745999999999995</v>
      </c>
      <c r="T10" s="103">
        <f>T11+T12+T13+T14+T15+T16</f>
        <v>2546.6999999999998</v>
      </c>
      <c r="U10" s="104">
        <v>8.49</v>
      </c>
      <c r="V10" s="137">
        <f>F10+R10+AB10</f>
        <v>5145.674</v>
      </c>
      <c r="W10" s="136">
        <f>F10+R10+AB10</f>
        <v>5145.674</v>
      </c>
      <c r="X10" s="190" t="s">
        <v>11</v>
      </c>
      <c r="Y10" s="191"/>
      <c r="Z10" s="191"/>
      <c r="AA10" s="191"/>
      <c r="AB10" s="93">
        <f>AB11+AB12+AB13+AB14+AB15+AB16</f>
        <v>678.8</v>
      </c>
      <c r="AC10" s="41">
        <f>AB10/AB32</f>
        <v>23.088435374149661</v>
      </c>
      <c r="AD10" s="108">
        <f>AD11+AD12+AD13+AD14+AD15+AD16</f>
        <v>528.29999999999995</v>
      </c>
      <c r="AE10" s="104">
        <v>22.57</v>
      </c>
      <c r="AF10" s="147">
        <f>F10+R10+AB10</f>
        <v>5145.674</v>
      </c>
      <c r="AG10" s="160">
        <f>F10+R10+AB10</f>
        <v>5145.674</v>
      </c>
      <c r="AI10" s="156"/>
      <c r="AK10" s="14"/>
    </row>
    <row r="11" spans="1:39" ht="15.75">
      <c r="B11" s="172" t="s">
        <v>12</v>
      </c>
      <c r="C11" s="173"/>
      <c r="D11" s="173"/>
      <c r="E11" s="173"/>
      <c r="F11" s="73">
        <v>111.2</v>
      </c>
      <c r="G11" s="123">
        <f>F11/F32</f>
        <v>0.96695652173913049</v>
      </c>
      <c r="H11" s="82">
        <v>138.69999999999999</v>
      </c>
      <c r="I11" s="83">
        <v>1.2</v>
      </c>
      <c r="J11" s="120"/>
      <c r="N11" s="172" t="s">
        <v>12</v>
      </c>
      <c r="O11" s="173"/>
      <c r="P11" s="173"/>
      <c r="Q11" s="173"/>
      <c r="R11" s="90">
        <v>777</v>
      </c>
      <c r="S11" s="42">
        <f>R11/R32</f>
        <v>2.59</v>
      </c>
      <c r="T11" s="105">
        <v>769.5</v>
      </c>
      <c r="U11" s="106">
        <v>2.56</v>
      </c>
      <c r="V11" s="134"/>
      <c r="X11" s="172" t="s">
        <v>12</v>
      </c>
      <c r="Y11" s="173"/>
      <c r="Z11" s="173"/>
      <c r="AA11" s="173"/>
      <c r="AB11" s="90">
        <v>28.5</v>
      </c>
      <c r="AC11" s="42">
        <f>AB11/AB32</f>
        <v>0.96938775510204089</v>
      </c>
      <c r="AD11" s="109">
        <v>22.5</v>
      </c>
      <c r="AE11" s="106">
        <v>0.96</v>
      </c>
      <c r="AF11" s="146"/>
    </row>
    <row r="12" spans="1:39" ht="15.75">
      <c r="B12" s="172" t="s">
        <v>13</v>
      </c>
      <c r="C12" s="173"/>
      <c r="D12" s="173"/>
      <c r="E12" s="173"/>
      <c r="F12" s="73">
        <v>66.5</v>
      </c>
      <c r="G12" s="123">
        <f>F12/F32</f>
        <v>0.57826086956521738</v>
      </c>
      <c r="H12" s="82">
        <v>148.19999999999999</v>
      </c>
      <c r="I12" s="83">
        <v>1.29</v>
      </c>
      <c r="J12" s="120"/>
      <c r="N12" s="172" t="s">
        <v>13</v>
      </c>
      <c r="O12" s="173"/>
      <c r="P12" s="173"/>
      <c r="Q12" s="173"/>
      <c r="R12" s="90">
        <v>216.7</v>
      </c>
      <c r="S12" s="42">
        <f>R12/R32</f>
        <v>0.72233333333333327</v>
      </c>
      <c r="T12" s="105">
        <v>260.2</v>
      </c>
      <c r="U12" s="106">
        <v>0.87</v>
      </c>
      <c r="V12" s="134"/>
      <c r="X12" s="172" t="s">
        <v>13</v>
      </c>
      <c r="Y12" s="173"/>
      <c r="Z12" s="173"/>
      <c r="AA12" s="173"/>
      <c r="AB12" s="90">
        <v>396.4</v>
      </c>
      <c r="AC12" s="42">
        <f>AB12/AB32</f>
        <v>13.482993197278912</v>
      </c>
      <c r="AD12" s="109">
        <v>308.2</v>
      </c>
      <c r="AE12" s="106">
        <v>13.17</v>
      </c>
      <c r="AF12" s="146"/>
    </row>
    <row r="13" spans="1:39" ht="15.75">
      <c r="B13" s="172" t="s">
        <v>14</v>
      </c>
      <c r="C13" s="173"/>
      <c r="D13" s="173"/>
      <c r="E13" s="173"/>
      <c r="F13" s="73">
        <v>1327.7</v>
      </c>
      <c r="G13" s="123">
        <v>11.54</v>
      </c>
      <c r="H13" s="82">
        <v>1307.3</v>
      </c>
      <c r="I13" s="83">
        <v>11.37</v>
      </c>
      <c r="J13" s="120"/>
      <c r="N13" s="172" t="s">
        <v>14</v>
      </c>
      <c r="O13" s="173"/>
      <c r="P13" s="173"/>
      <c r="Q13" s="173"/>
      <c r="R13" s="90">
        <v>1054</v>
      </c>
      <c r="S13" s="42">
        <f>R13/R32</f>
        <v>3.5133333333333332</v>
      </c>
      <c r="T13" s="105">
        <v>1020.7</v>
      </c>
      <c r="U13" s="106">
        <v>3.4</v>
      </c>
      <c r="V13" s="137"/>
      <c r="W13" s="137"/>
      <c r="X13" s="172" t="s">
        <v>14</v>
      </c>
      <c r="Y13" s="173"/>
      <c r="Z13" s="173"/>
      <c r="AA13" s="173"/>
      <c r="AB13" s="90">
        <v>161.19999999999999</v>
      </c>
      <c r="AC13" s="42">
        <f>AB13/AB32</f>
        <v>5.4829931972789119</v>
      </c>
      <c r="AD13" s="109">
        <v>153.4</v>
      </c>
      <c r="AE13" s="106">
        <v>6.56</v>
      </c>
      <c r="AF13" s="147">
        <f>128.5/AB31*100</f>
        <v>13.188690231141925</v>
      </c>
    </row>
    <row r="14" spans="1:39" ht="30.75" customHeight="1">
      <c r="B14" s="180" t="s">
        <v>52</v>
      </c>
      <c r="C14" s="181"/>
      <c r="D14" s="181"/>
      <c r="E14" s="181"/>
      <c r="F14" s="73">
        <f>F13*0.22</f>
        <v>292.09399999999999</v>
      </c>
      <c r="G14" s="123">
        <f>G13*0.22</f>
        <v>2.5387999999999997</v>
      </c>
      <c r="H14" s="82">
        <v>287.60000000000002</v>
      </c>
      <c r="I14" s="83">
        <v>2.5</v>
      </c>
      <c r="J14" s="120"/>
      <c r="N14" s="180" t="s">
        <v>51</v>
      </c>
      <c r="O14" s="181"/>
      <c r="P14" s="181"/>
      <c r="Q14" s="181"/>
      <c r="R14" s="90">
        <f>R13*0.22</f>
        <v>231.88</v>
      </c>
      <c r="S14" s="42">
        <f>R14/R32</f>
        <v>0.77293333333333336</v>
      </c>
      <c r="T14" s="105">
        <v>224.6</v>
      </c>
      <c r="U14" s="106">
        <v>0.75</v>
      </c>
      <c r="V14" s="134"/>
      <c r="X14" s="180" t="s">
        <v>52</v>
      </c>
      <c r="Y14" s="181"/>
      <c r="Z14" s="181"/>
      <c r="AA14" s="181"/>
      <c r="AB14" s="90">
        <v>35.5</v>
      </c>
      <c r="AC14" s="42">
        <f>AC13*0.22</f>
        <v>1.2062585034013606</v>
      </c>
      <c r="AD14" s="109">
        <v>33.799999999999997</v>
      </c>
      <c r="AE14" s="106">
        <v>1.44</v>
      </c>
      <c r="AF14" s="146"/>
    </row>
    <row r="15" spans="1:39" ht="15.75">
      <c r="B15" s="172" t="s">
        <v>16</v>
      </c>
      <c r="C15" s="173"/>
      <c r="D15" s="173"/>
      <c r="E15" s="173"/>
      <c r="F15" s="73">
        <v>4.5999999999999996</v>
      </c>
      <c r="G15" s="123">
        <f>F15/F32</f>
        <v>3.9999999999999994E-2</v>
      </c>
      <c r="H15" s="82">
        <v>6.6</v>
      </c>
      <c r="I15" s="83">
        <v>0.06</v>
      </c>
      <c r="J15" s="120"/>
      <c r="N15" s="172" t="s">
        <v>16</v>
      </c>
      <c r="O15" s="173"/>
      <c r="P15" s="173"/>
      <c r="Q15" s="173"/>
      <c r="R15" s="90">
        <v>73.2</v>
      </c>
      <c r="S15" s="42">
        <v>0.25</v>
      </c>
      <c r="T15" s="105">
        <v>58.7</v>
      </c>
      <c r="U15" s="106">
        <v>0.2</v>
      </c>
      <c r="V15" s="134"/>
      <c r="X15" s="172" t="s">
        <v>16</v>
      </c>
      <c r="Y15" s="173"/>
      <c r="Z15" s="173"/>
      <c r="AA15" s="173"/>
      <c r="AB15" s="90">
        <v>52.7</v>
      </c>
      <c r="AC15" s="42">
        <f>AB15/AB32</f>
        <v>1.7925170068027212</v>
      </c>
      <c r="AD15" s="109">
        <v>6.3</v>
      </c>
      <c r="AE15" s="106">
        <v>0.27</v>
      </c>
      <c r="AF15" s="146"/>
      <c r="AG15" s="157" t="s">
        <v>42</v>
      </c>
      <c r="AH15" s="157" t="s">
        <v>40</v>
      </c>
      <c r="AI15" s="134" t="s">
        <v>41</v>
      </c>
      <c r="AJ15" s="137"/>
    </row>
    <row r="16" spans="1:39" ht="15.75">
      <c r="B16" s="172" t="s">
        <v>17</v>
      </c>
      <c r="C16" s="173"/>
      <c r="D16" s="173"/>
      <c r="E16" s="173"/>
      <c r="F16" s="73">
        <v>32.4</v>
      </c>
      <c r="G16" s="123">
        <f>F16/F32</f>
        <v>0.2817391304347826</v>
      </c>
      <c r="H16" s="82">
        <v>28.2</v>
      </c>
      <c r="I16" s="83">
        <v>0.24</v>
      </c>
      <c r="J16" s="120"/>
      <c r="N16" s="172" t="s">
        <v>17</v>
      </c>
      <c r="O16" s="173"/>
      <c r="P16" s="173"/>
      <c r="Q16" s="173"/>
      <c r="R16" s="90">
        <v>279.60000000000002</v>
      </c>
      <c r="S16" s="42">
        <f>R16/R32</f>
        <v>0.93200000000000005</v>
      </c>
      <c r="T16" s="105">
        <v>213</v>
      </c>
      <c r="U16" s="106">
        <v>0.71</v>
      </c>
      <c r="V16" s="134"/>
      <c r="X16" s="172" t="s">
        <v>17</v>
      </c>
      <c r="Y16" s="173"/>
      <c r="Z16" s="173"/>
      <c r="AA16" s="173"/>
      <c r="AB16" s="90">
        <f>0.6+3.9</f>
        <v>4.5</v>
      </c>
      <c r="AC16" s="42">
        <v>0.16</v>
      </c>
      <c r="AD16" s="109">
        <v>4.0999999999999996</v>
      </c>
      <c r="AE16" s="106">
        <v>0.17</v>
      </c>
      <c r="AF16" s="147">
        <f>W17</f>
        <v>681.6</v>
      </c>
      <c r="AG16" s="158">
        <f>404.2</f>
        <v>404.2</v>
      </c>
      <c r="AH16" s="158">
        <f>AF16/AF10*R10</f>
        <v>348.6871123199798</v>
      </c>
      <c r="AI16" s="158">
        <f>AF16/AF10*AB10</f>
        <v>89.914378563430162</v>
      </c>
    </row>
    <row r="17" spans="2:36" ht="18.75">
      <c r="B17" s="182" t="s">
        <v>18</v>
      </c>
      <c r="C17" s="183"/>
      <c r="D17" s="183"/>
      <c r="E17" s="183"/>
      <c r="F17" s="72">
        <f>AF16/AF10*F10</f>
        <v>242.99850911658999</v>
      </c>
      <c r="G17" s="122">
        <f>G18+G19+G20</f>
        <v>2.1230305140573043</v>
      </c>
      <c r="H17" s="80">
        <f>W17/W10*H10</f>
        <v>253.87433405225434</v>
      </c>
      <c r="I17" s="113">
        <f>F17/F32</f>
        <v>2.113030514057304</v>
      </c>
      <c r="J17" s="119"/>
      <c r="N17" s="182" t="s">
        <v>18</v>
      </c>
      <c r="O17" s="183"/>
      <c r="P17" s="183"/>
      <c r="Q17" s="183"/>
      <c r="R17" s="93">
        <f>AF16/AF10*R10</f>
        <v>348.6871123199798</v>
      </c>
      <c r="S17" s="41">
        <f>S18+S19+S20</f>
        <v>1.1622903743999327</v>
      </c>
      <c r="T17" s="103">
        <f>W17/W10*T10</f>
        <v>337.33787255080671</v>
      </c>
      <c r="U17" s="104">
        <f>T17/R32</f>
        <v>1.1244595751693558</v>
      </c>
      <c r="V17" s="137">
        <f>F17+R17+AB17</f>
        <v>681.6</v>
      </c>
      <c r="W17" s="138">
        <v>681.6</v>
      </c>
      <c r="X17" s="182" t="s">
        <v>18</v>
      </c>
      <c r="Y17" s="183"/>
      <c r="Z17" s="183"/>
      <c r="AA17" s="183"/>
      <c r="AB17" s="96">
        <f>AF16/AF10*AB10</f>
        <v>89.914378563430162</v>
      </c>
      <c r="AC17" s="41">
        <f>AC18+AC19+AC20</f>
        <v>3.0583121960350397</v>
      </c>
      <c r="AD17" s="103">
        <f>W17/W10*AD10</f>
        <v>69.979030929670245</v>
      </c>
      <c r="AE17" s="104">
        <v>2.84</v>
      </c>
      <c r="AF17" s="147">
        <v>480.1</v>
      </c>
      <c r="AG17" s="137">
        <f>47.3/AF10*AB10</f>
        <v>6.2396568457309964</v>
      </c>
      <c r="AH17" s="137"/>
      <c r="AI17" s="137"/>
    </row>
    <row r="18" spans="2:36" ht="18.75">
      <c r="B18" s="172" t="s">
        <v>14</v>
      </c>
      <c r="C18" s="173"/>
      <c r="D18" s="173"/>
      <c r="E18" s="173"/>
      <c r="F18" s="73">
        <f>AF18/AF10*F10</f>
        <v>144.10210883938626</v>
      </c>
      <c r="G18" s="123">
        <f>F18/F32</f>
        <v>1.2530618159946632</v>
      </c>
      <c r="H18" s="82">
        <v>181.3</v>
      </c>
      <c r="I18" s="83">
        <v>1.6</v>
      </c>
      <c r="J18" s="120"/>
      <c r="N18" s="172" t="s">
        <v>14</v>
      </c>
      <c r="O18" s="173"/>
      <c r="P18" s="173"/>
      <c r="Q18" s="173"/>
      <c r="R18" s="90">
        <f>AF18/AF10*R10</f>
        <v>206.7771872061852</v>
      </c>
      <c r="S18" s="42">
        <f>R18/R32</f>
        <v>0.68925729068728403</v>
      </c>
      <c r="T18" s="105">
        <v>240.5</v>
      </c>
      <c r="U18" s="106">
        <f>T18/R32</f>
        <v>0.80166666666666664</v>
      </c>
      <c r="V18" s="137"/>
      <c r="W18" s="139">
        <f>H17+T17+AD17</f>
        <v>661.19123753273129</v>
      </c>
      <c r="X18" s="172" t="s">
        <v>14</v>
      </c>
      <c r="Y18" s="173"/>
      <c r="Z18" s="173"/>
      <c r="AA18" s="173"/>
      <c r="AB18" s="90">
        <f>AG16/AF10*AB10</f>
        <v>53.32070395442851</v>
      </c>
      <c r="AC18" s="42">
        <f>AB18/AB32</f>
        <v>1.8136293862050514</v>
      </c>
      <c r="AD18" s="105">
        <v>49.9</v>
      </c>
      <c r="AE18" s="106">
        <f>AD18/AB32</f>
        <v>1.6972789115646258</v>
      </c>
      <c r="AF18" s="147">
        <v>404.2</v>
      </c>
      <c r="AG18" s="137"/>
      <c r="AH18" s="137"/>
      <c r="AI18" s="137"/>
    </row>
    <row r="19" spans="2:36" ht="27.75" customHeight="1">
      <c r="B19" s="180" t="s">
        <v>51</v>
      </c>
      <c r="C19" s="181"/>
      <c r="D19" s="181"/>
      <c r="E19" s="181"/>
      <c r="F19" s="73">
        <f>F18*0.22</f>
        <v>31.702463944664977</v>
      </c>
      <c r="G19" s="123">
        <f>G18*0.22</f>
        <v>0.27567359951882592</v>
      </c>
      <c r="H19" s="82">
        <v>39.9</v>
      </c>
      <c r="I19" s="83">
        <v>0.33</v>
      </c>
      <c r="J19" s="120"/>
      <c r="N19" s="180" t="s">
        <v>50</v>
      </c>
      <c r="O19" s="181"/>
      <c r="P19" s="181"/>
      <c r="Q19" s="181"/>
      <c r="R19" s="90">
        <f>R18*0.22</f>
        <v>45.490981185360745</v>
      </c>
      <c r="S19" s="42">
        <f>S18*0.22</f>
        <v>0.15163660395120249</v>
      </c>
      <c r="T19" s="105">
        <v>52.9</v>
      </c>
      <c r="U19" s="106">
        <f>U18*0.22</f>
        <v>0.17636666666666667</v>
      </c>
      <c r="V19" s="134"/>
      <c r="W19" s="140"/>
      <c r="X19" s="180" t="s">
        <v>51</v>
      </c>
      <c r="Y19" s="181"/>
      <c r="Z19" s="181"/>
      <c r="AA19" s="181"/>
      <c r="AB19" s="90">
        <f>AB18*0.22</f>
        <v>11.730554869974272</v>
      </c>
      <c r="AC19" s="42">
        <f>AC18*0.22</f>
        <v>0.39899846496511132</v>
      </c>
      <c r="AD19" s="105">
        <v>11</v>
      </c>
      <c r="AE19" s="106">
        <f>AE18*0.22</f>
        <v>0.37340136054421769</v>
      </c>
      <c r="AF19" s="147"/>
      <c r="AG19" s="137"/>
      <c r="AH19" s="137"/>
      <c r="AI19" s="137"/>
    </row>
    <row r="20" spans="2:36" ht="18.75">
      <c r="B20" s="172" t="s">
        <v>19</v>
      </c>
      <c r="C20" s="173"/>
      <c r="D20" s="173"/>
      <c r="E20" s="173"/>
      <c r="F20" s="73">
        <f>F17-F18-F19</f>
        <v>67.193936332538755</v>
      </c>
      <c r="G20" s="123">
        <f>F20/F32+0.01</f>
        <v>0.59429509854381524</v>
      </c>
      <c r="H20" s="82">
        <v>20</v>
      </c>
      <c r="I20" s="83">
        <v>0.17</v>
      </c>
      <c r="J20" s="120"/>
      <c r="N20" s="172" t="s">
        <v>19</v>
      </c>
      <c r="O20" s="173"/>
      <c r="P20" s="173"/>
      <c r="Q20" s="173"/>
      <c r="R20" s="90">
        <f>R17-R18-R19</f>
        <v>96.418943928433862</v>
      </c>
      <c r="S20" s="42">
        <f>R20/R32</f>
        <v>0.3213964797614462</v>
      </c>
      <c r="T20" s="105">
        <v>26.6</v>
      </c>
      <c r="U20" s="106">
        <f>T20/R32</f>
        <v>8.8666666666666671E-2</v>
      </c>
      <c r="V20" s="134"/>
      <c r="W20" s="140"/>
      <c r="X20" s="172" t="s">
        <v>19</v>
      </c>
      <c r="Y20" s="173"/>
      <c r="Z20" s="173"/>
      <c r="AA20" s="173"/>
      <c r="AB20" s="90">
        <f>AB17-AB18-AB19</f>
        <v>24.863119739027383</v>
      </c>
      <c r="AC20" s="42">
        <f>AB20/AB32</f>
        <v>0.84568434486487698</v>
      </c>
      <c r="AD20" s="105">
        <v>5.5</v>
      </c>
      <c r="AE20" s="106">
        <f>AD20/AB32</f>
        <v>0.1870748299319728</v>
      </c>
      <c r="AF20" s="147"/>
      <c r="AG20" s="137"/>
      <c r="AH20" s="137"/>
      <c r="AI20" s="137"/>
    </row>
    <row r="21" spans="2:36" ht="18.75">
      <c r="B21" s="182" t="s">
        <v>20</v>
      </c>
      <c r="C21" s="183"/>
      <c r="D21" s="183"/>
      <c r="E21" s="183"/>
      <c r="F21" s="72">
        <f>AF21/AF9*F9</f>
        <v>295.37010681205226</v>
      </c>
      <c r="G21" s="122">
        <f>G22+G23+G24</f>
        <v>2.5684357114091503</v>
      </c>
      <c r="H21" s="80">
        <f>W21/W9*H9</f>
        <v>308.58991455735435</v>
      </c>
      <c r="I21" s="81">
        <f>H21/F32</f>
        <v>2.6833905613682987</v>
      </c>
      <c r="J21" s="119"/>
      <c r="N21" s="182" t="s">
        <v>20</v>
      </c>
      <c r="O21" s="183"/>
      <c r="P21" s="183"/>
      <c r="Q21" s="183"/>
      <c r="R21" s="95">
        <f>AF21/AF9*R9</f>
        <v>423.83696091124307</v>
      </c>
      <c r="S21" s="41">
        <f>S22+S23+S24</f>
        <v>1.4127898697041434</v>
      </c>
      <c r="T21" s="103">
        <f>W21/W9*T9</f>
        <v>410.04170687843811</v>
      </c>
      <c r="U21" s="104">
        <f>T21/R32</f>
        <v>1.3668056895947938</v>
      </c>
      <c r="V21" s="137">
        <f>F21+R21+AB21</f>
        <v>828.49999999999989</v>
      </c>
      <c r="W21" s="138">
        <f>552.5+121.6+9.2+145.2</f>
        <v>828.5</v>
      </c>
      <c r="X21" s="182" t="s">
        <v>20</v>
      </c>
      <c r="Y21" s="183"/>
      <c r="Z21" s="183"/>
      <c r="AA21" s="183"/>
      <c r="AB21" s="93">
        <f>AF21/AF9*AB9</f>
        <v>109.29293227670466</v>
      </c>
      <c r="AC21" s="41">
        <f>AC22+AC23+AC24</f>
        <v>3.71744667607839</v>
      </c>
      <c r="AD21" s="108">
        <f>W21/W9*AD9</f>
        <v>85.061072660257906</v>
      </c>
      <c r="AE21" s="104">
        <f>AD21/AB32</f>
        <v>2.8932337639543508</v>
      </c>
      <c r="AF21" s="147">
        <f>W21</f>
        <v>828.5</v>
      </c>
      <c r="AG21" s="137">
        <f>AF21/AF9*100</f>
        <v>14.217625599894564</v>
      </c>
      <c r="AH21" s="137"/>
      <c r="AI21" s="137"/>
    </row>
    <row r="22" spans="2:36" ht="18.75">
      <c r="B22" s="172" t="s">
        <v>14</v>
      </c>
      <c r="C22" s="173"/>
      <c r="D22" s="173"/>
      <c r="E22" s="173"/>
      <c r="F22" s="73">
        <f>AF22/AF9*F9</f>
        <v>196.97282319089786</v>
      </c>
      <c r="G22" s="123">
        <f>F22/F32</f>
        <v>1.7128071581817206</v>
      </c>
      <c r="H22" s="82"/>
      <c r="I22" s="83"/>
      <c r="J22" s="120"/>
      <c r="N22" s="172" t="s">
        <v>14</v>
      </c>
      <c r="O22" s="173"/>
      <c r="P22" s="173"/>
      <c r="Q22" s="173"/>
      <c r="R22" s="94">
        <f>AF22/AF9*R9</f>
        <v>282.64323585209632</v>
      </c>
      <c r="S22" s="42">
        <f>R22/R32</f>
        <v>0.94214411950698773</v>
      </c>
      <c r="T22" s="105"/>
      <c r="U22" s="106"/>
      <c r="V22" s="134"/>
      <c r="W22" s="141">
        <f>H21+T21+AD21</f>
        <v>803.69269409605033</v>
      </c>
      <c r="X22" s="172" t="s">
        <v>14</v>
      </c>
      <c r="Y22" s="173"/>
      <c r="Z22" s="173"/>
      <c r="AA22" s="173"/>
      <c r="AB22" s="90">
        <f>AF22/AF9*AB9</f>
        <v>72.883940957005834</v>
      </c>
      <c r="AC22" s="42">
        <f>AB22/AB32</f>
        <v>2.4790456107825114</v>
      </c>
      <c r="AD22" s="109"/>
      <c r="AE22" s="106"/>
      <c r="AF22" s="146">
        <v>552.5</v>
      </c>
    </row>
    <row r="23" spans="2:36" ht="30" customHeight="1">
      <c r="B23" s="180" t="s">
        <v>51</v>
      </c>
      <c r="C23" s="181"/>
      <c r="D23" s="181"/>
      <c r="E23" s="181"/>
      <c r="F23" s="73">
        <f>F22*0.22</f>
        <v>43.334021101997529</v>
      </c>
      <c r="G23" s="123">
        <f>G22*0.22</f>
        <v>0.37681757479997852</v>
      </c>
      <c r="H23" s="82"/>
      <c r="I23" s="83"/>
      <c r="J23" s="120"/>
      <c r="N23" s="180" t="s">
        <v>51</v>
      </c>
      <c r="O23" s="181"/>
      <c r="P23" s="181"/>
      <c r="Q23" s="181"/>
      <c r="R23" s="94">
        <f>R22*0.22</f>
        <v>62.181511887461191</v>
      </c>
      <c r="S23" s="42">
        <f>S22*0.22</f>
        <v>0.20727170629153729</v>
      </c>
      <c r="T23" s="105"/>
      <c r="U23" s="106"/>
      <c r="V23" s="134"/>
      <c r="W23" s="142"/>
      <c r="X23" s="180" t="s">
        <v>53</v>
      </c>
      <c r="Y23" s="181"/>
      <c r="Z23" s="181"/>
      <c r="AA23" s="181"/>
      <c r="AB23" s="90">
        <f>AB22*0.22</f>
        <v>16.034467010541285</v>
      </c>
      <c r="AC23" s="42">
        <f>AC22*0.22</f>
        <v>0.5453900343721525</v>
      </c>
      <c r="AD23" s="109"/>
      <c r="AE23" s="106"/>
      <c r="AF23" s="147"/>
    </row>
    <row r="24" spans="2:36" ht="15.75" customHeight="1">
      <c r="B24" s="172" t="s">
        <v>19</v>
      </c>
      <c r="C24" s="173"/>
      <c r="D24" s="173"/>
      <c r="E24" s="173"/>
      <c r="F24" s="73">
        <f>F21-F22-F23</f>
        <v>55.063262519156872</v>
      </c>
      <c r="G24" s="123">
        <f>F24/F32</f>
        <v>0.47881097842745107</v>
      </c>
      <c r="H24" s="82"/>
      <c r="I24" s="83"/>
      <c r="J24" s="120"/>
      <c r="N24" s="172" t="s">
        <v>19</v>
      </c>
      <c r="O24" s="173"/>
      <c r="P24" s="173"/>
      <c r="Q24" s="173"/>
      <c r="R24" s="94">
        <f>R21-R22-R23</f>
        <v>79.012213171685545</v>
      </c>
      <c r="S24" s="42">
        <f>R24/R32</f>
        <v>0.26337404390561847</v>
      </c>
      <c r="T24" s="65"/>
      <c r="U24" s="42"/>
      <c r="V24" s="134"/>
      <c r="W24" s="142"/>
      <c r="X24" s="172" t="s">
        <v>19</v>
      </c>
      <c r="Y24" s="173"/>
      <c r="Z24" s="173"/>
      <c r="AA24" s="173"/>
      <c r="AB24" s="90">
        <f>AB21-AB22-AB23</f>
        <v>20.374524309157543</v>
      </c>
      <c r="AC24" s="42">
        <f>AB24/AB32</f>
        <v>0.69301103092372596</v>
      </c>
      <c r="AD24" s="109"/>
      <c r="AE24" s="106"/>
      <c r="AF24" s="146"/>
    </row>
    <row r="25" spans="2:36" ht="18.75">
      <c r="B25" s="182" t="s">
        <v>21</v>
      </c>
      <c r="C25" s="183"/>
      <c r="D25" s="183"/>
      <c r="E25" s="183"/>
      <c r="F25" s="72">
        <f>AF25/AF9*F9</f>
        <v>260.28933612972764</v>
      </c>
      <c r="G25" s="122">
        <f>G26+G27+G28</f>
        <v>2.2633855315628488</v>
      </c>
      <c r="H25" s="80">
        <f>W25/W9*H9</f>
        <v>271.93904238783875</v>
      </c>
      <c r="I25" s="81">
        <f>H25/F32</f>
        <v>2.3646873251116411</v>
      </c>
      <c r="J25" s="119"/>
      <c r="N25" s="182" t="s">
        <v>21</v>
      </c>
      <c r="O25" s="183"/>
      <c r="P25" s="183"/>
      <c r="Q25" s="183"/>
      <c r="R25" s="93">
        <f>AF25/AF9*R9</f>
        <v>373.49832849885166</v>
      </c>
      <c r="S25" s="41">
        <f>S26+S27+S28</f>
        <v>1.2510660133541303</v>
      </c>
      <c r="T25" s="61"/>
      <c r="U25" s="41"/>
      <c r="V25" s="137">
        <f>F25+R25+AB25</f>
        <v>730.1</v>
      </c>
      <c r="W25" s="138">
        <f>731.7-1.6</f>
        <v>730.1</v>
      </c>
      <c r="X25" s="182" t="s">
        <v>21</v>
      </c>
      <c r="Y25" s="183"/>
      <c r="Z25" s="183"/>
      <c r="AA25" s="183"/>
      <c r="AB25" s="93">
        <f>AF25/AF9*AB9</f>
        <v>96.31233537142073</v>
      </c>
      <c r="AC25" s="41">
        <f>2.5+0.55+0.22</f>
        <v>3.27</v>
      </c>
      <c r="AD25" s="108">
        <f>W25/W9*AD9</f>
        <v>74.958466082382984</v>
      </c>
      <c r="AE25" s="104">
        <f>AD25/AB32</f>
        <v>2.5496076898769724</v>
      </c>
      <c r="AF25" s="147">
        <f>W25</f>
        <v>730.1</v>
      </c>
      <c r="AG25" s="152">
        <f>AB25/AB9*100</f>
        <v>12.52901442424022</v>
      </c>
      <c r="AI25" s="152"/>
      <c r="AJ25" s="137"/>
    </row>
    <row r="26" spans="2:36" ht="15.75">
      <c r="B26" s="172" t="s">
        <v>14</v>
      </c>
      <c r="C26" s="173"/>
      <c r="D26" s="173"/>
      <c r="E26" s="173"/>
      <c r="F26" s="73">
        <f>AF26/AF9*F9</f>
        <v>198.96928981509521</v>
      </c>
      <c r="G26" s="123">
        <f>F26/F32</f>
        <v>1.730167737522567</v>
      </c>
      <c r="H26" s="82"/>
      <c r="I26" s="83"/>
      <c r="J26" s="120"/>
      <c r="N26" s="172" t="s">
        <v>14</v>
      </c>
      <c r="O26" s="173"/>
      <c r="P26" s="173"/>
      <c r="Q26" s="173"/>
      <c r="R26" s="90">
        <f>AF26/AF9*R9</f>
        <v>285.50803607068775</v>
      </c>
      <c r="S26" s="42">
        <f>R26/R32</f>
        <v>0.95169345356895918</v>
      </c>
      <c r="T26" s="65"/>
      <c r="U26" s="42"/>
      <c r="V26" s="134"/>
      <c r="X26" s="172" t="s">
        <v>14</v>
      </c>
      <c r="Y26" s="173"/>
      <c r="Z26" s="173"/>
      <c r="AA26" s="173"/>
      <c r="AB26" s="90">
        <f>AF26/AF9*AB9</f>
        <v>73.622674114217119</v>
      </c>
      <c r="AC26" s="42">
        <f>AB26/AB32</f>
        <v>2.5041725889189497</v>
      </c>
      <c r="AD26" s="109"/>
      <c r="AE26" s="106"/>
      <c r="AF26" s="146">
        <v>558.1</v>
      </c>
    </row>
    <row r="27" spans="2:36" ht="30.75" customHeight="1">
      <c r="B27" s="180" t="s">
        <v>51</v>
      </c>
      <c r="C27" s="181"/>
      <c r="D27" s="181"/>
      <c r="E27" s="181"/>
      <c r="F27" s="73">
        <f>F26*0.22</f>
        <v>43.773243759320948</v>
      </c>
      <c r="G27" s="123">
        <f>G26*0.22</f>
        <v>0.38063690225496477</v>
      </c>
      <c r="H27" s="82"/>
      <c r="I27" s="83"/>
      <c r="J27" s="120"/>
      <c r="N27" s="180" t="s">
        <v>51</v>
      </c>
      <c r="O27" s="181"/>
      <c r="P27" s="181"/>
      <c r="Q27" s="181"/>
      <c r="R27" s="90">
        <f>R26*0.22</f>
        <v>62.811767935551309</v>
      </c>
      <c r="S27" s="42">
        <f>S26*0.22</f>
        <v>0.20937255978517103</v>
      </c>
      <c r="T27" s="65"/>
      <c r="U27" s="42"/>
      <c r="V27" s="134"/>
      <c r="X27" s="180" t="s">
        <v>51</v>
      </c>
      <c r="Y27" s="181"/>
      <c r="Z27" s="181"/>
      <c r="AA27" s="181"/>
      <c r="AB27" s="90">
        <f>AB26*0.22</f>
        <v>16.196988305127768</v>
      </c>
      <c r="AC27" s="42">
        <f>AC26*0.22</f>
        <v>0.55091796956216899</v>
      </c>
      <c r="AD27" s="109"/>
      <c r="AE27" s="106"/>
      <c r="AF27" s="147"/>
    </row>
    <row r="28" spans="2:36" ht="15.75">
      <c r="B28" s="172" t="s">
        <v>19</v>
      </c>
      <c r="C28" s="173"/>
      <c r="D28" s="173"/>
      <c r="E28" s="173"/>
      <c r="F28" s="73">
        <f>F25-F26-F27</f>
        <v>17.546802555311487</v>
      </c>
      <c r="G28" s="123">
        <f>F28/F32</f>
        <v>0.15258089178531728</v>
      </c>
      <c r="H28" s="82"/>
      <c r="I28" s="112"/>
      <c r="J28" s="120"/>
      <c r="N28" s="172" t="s">
        <v>19</v>
      </c>
      <c r="O28" s="173"/>
      <c r="P28" s="173"/>
      <c r="Q28" s="173"/>
      <c r="R28" s="90">
        <f>R25-R26-R27</f>
        <v>25.178524492612603</v>
      </c>
      <c r="S28" s="42">
        <v>0.09</v>
      </c>
      <c r="T28" s="65"/>
      <c r="U28" s="42"/>
      <c r="V28" s="134"/>
      <c r="X28" s="172" t="s">
        <v>19</v>
      </c>
      <c r="Y28" s="173"/>
      <c r="Z28" s="173"/>
      <c r="AA28" s="173"/>
      <c r="AB28" s="90">
        <f>AB25-AB26-AB27</f>
        <v>6.4926729520758428</v>
      </c>
      <c r="AC28" s="42">
        <f>AB28/AB32</f>
        <v>0.22083921605700146</v>
      </c>
      <c r="AD28" s="109"/>
      <c r="AE28" s="106"/>
      <c r="AF28" s="146"/>
    </row>
    <row r="29" spans="2:36" ht="15.75" hidden="1">
      <c r="B29" s="172" t="s">
        <v>22</v>
      </c>
      <c r="C29" s="173"/>
      <c r="D29" s="173"/>
      <c r="E29" s="173"/>
      <c r="F29" s="73"/>
      <c r="G29" s="123">
        <f>SUM(G25:G28)</f>
        <v>4.5267710631256977</v>
      </c>
      <c r="H29" s="82"/>
      <c r="I29" s="112"/>
      <c r="J29" s="120"/>
      <c r="N29" s="172" t="s">
        <v>22</v>
      </c>
      <c r="O29" s="173"/>
      <c r="P29" s="173"/>
      <c r="Q29" s="173"/>
      <c r="R29" s="90"/>
      <c r="S29" s="42"/>
      <c r="T29" s="65"/>
      <c r="U29" s="42"/>
      <c r="V29" s="134"/>
      <c r="X29" s="172" t="s">
        <v>22</v>
      </c>
      <c r="Y29" s="173"/>
      <c r="Z29" s="173"/>
      <c r="AA29" s="173"/>
      <c r="AB29" s="90"/>
      <c r="AC29" s="43"/>
      <c r="AD29" s="110"/>
      <c r="AE29" s="111"/>
      <c r="AF29" s="146"/>
    </row>
    <row r="30" spans="2:36" ht="15.75" hidden="1">
      <c r="B30" s="172" t="s">
        <v>23</v>
      </c>
      <c r="C30" s="173"/>
      <c r="D30" s="173"/>
      <c r="E30" s="173"/>
      <c r="F30" s="73"/>
      <c r="G30" s="123"/>
      <c r="H30" s="82"/>
      <c r="I30" s="112"/>
      <c r="J30" s="120"/>
      <c r="K30" s="14"/>
      <c r="L30" s="14"/>
      <c r="M30" s="14"/>
      <c r="N30" s="172" t="s">
        <v>23</v>
      </c>
      <c r="O30" s="173"/>
      <c r="P30" s="173"/>
      <c r="Q30" s="173"/>
      <c r="R30" s="90"/>
      <c r="S30" s="42"/>
      <c r="T30" s="65"/>
      <c r="U30" s="42"/>
      <c r="V30" s="134"/>
      <c r="X30" s="172" t="s">
        <v>23</v>
      </c>
      <c r="Y30" s="173"/>
      <c r="Z30" s="173"/>
      <c r="AA30" s="173"/>
      <c r="AB30" s="90"/>
      <c r="AC30" s="42"/>
      <c r="AD30" s="109"/>
      <c r="AE30" s="106"/>
      <c r="AF30" s="146"/>
    </row>
    <row r="31" spans="2:36" ht="15.75">
      <c r="B31" s="178" t="s">
        <v>24</v>
      </c>
      <c r="C31" s="179"/>
      <c r="D31" s="179"/>
      <c r="E31" s="179"/>
      <c r="F31" s="72">
        <f>F9+F21+F25</f>
        <v>2633.1519520583697</v>
      </c>
      <c r="G31" s="122">
        <f>F31/F32</f>
        <v>22.896973496159738</v>
      </c>
      <c r="H31" s="114">
        <f>F31/F32</f>
        <v>22.896973496159738</v>
      </c>
      <c r="I31" s="113">
        <f>G25+G21+G9</f>
        <v>22.900608278768431</v>
      </c>
      <c r="J31" s="119"/>
      <c r="K31" s="10"/>
      <c r="L31" s="10"/>
      <c r="M31" s="10"/>
      <c r="N31" s="178" t="s">
        <v>24</v>
      </c>
      <c r="O31" s="179"/>
      <c r="P31" s="179"/>
      <c r="Q31" s="179"/>
      <c r="R31" s="93">
        <f>R9+R21+R25</f>
        <v>3778.402401730074</v>
      </c>
      <c r="S31" s="41">
        <v>12.59</v>
      </c>
      <c r="T31" s="47">
        <f>R31/R32</f>
        <v>12.59467467243358</v>
      </c>
      <c r="U31" s="41"/>
      <c r="V31" s="137">
        <f>F31+R31+AB31</f>
        <v>7385.8739999999998</v>
      </c>
      <c r="W31" s="137">
        <f>F31+R31+AB31</f>
        <v>7385.8739999999998</v>
      </c>
      <c r="X31" s="178" t="s">
        <v>24</v>
      </c>
      <c r="Y31" s="179"/>
      <c r="Z31" s="179"/>
      <c r="AA31" s="179"/>
      <c r="AB31" s="93">
        <f>AB9+AB21+AB25</f>
        <v>974.31964621155555</v>
      </c>
      <c r="AC31" s="41">
        <f>AB31/AB32</f>
        <v>33.14012402080121</v>
      </c>
      <c r="AD31" s="109">
        <f>AD25+AD21+AD9</f>
        <v>758.29856967231103</v>
      </c>
      <c r="AE31" s="226">
        <f>AE25+AE21+AE9</f>
        <v>30.852841453831324</v>
      </c>
      <c r="AF31" s="228">
        <f>26.15+3.72+3.27</f>
        <v>33.14</v>
      </c>
      <c r="AG31" s="229">
        <f>AB9+AB21+AB25</f>
        <v>974.31964621155555</v>
      </c>
      <c r="AH31" s="229">
        <f>F31+R31+AB31</f>
        <v>7385.8739999999998</v>
      </c>
      <c r="AI31" s="230"/>
    </row>
    <row r="32" spans="2:36" ht="18.75">
      <c r="B32" s="172" t="s">
        <v>25</v>
      </c>
      <c r="C32" s="173"/>
      <c r="D32" s="173"/>
      <c r="E32" s="173"/>
      <c r="F32" s="72">
        <v>115</v>
      </c>
      <c r="G32" s="123"/>
      <c r="H32" s="84"/>
      <c r="I32" s="112"/>
      <c r="J32" s="120"/>
      <c r="N32" s="172" t="s">
        <v>25</v>
      </c>
      <c r="O32" s="173"/>
      <c r="P32" s="173"/>
      <c r="Q32" s="173"/>
      <c r="R32" s="93">
        <v>300</v>
      </c>
      <c r="S32" s="42"/>
      <c r="T32" s="65"/>
      <c r="U32" s="42"/>
      <c r="V32" s="137">
        <f>V9+V21+V25</f>
        <v>7385.8739999999998</v>
      </c>
      <c r="W32" s="137">
        <f>H31+T31+AD31</f>
        <v>793.79021784090435</v>
      </c>
      <c r="X32" s="172" t="s">
        <v>25</v>
      </c>
      <c r="Y32" s="173"/>
      <c r="Z32" s="173"/>
      <c r="AA32" s="173"/>
      <c r="AB32" s="90">
        <f>AB33+AB34+AB35</f>
        <v>29.4</v>
      </c>
      <c r="AC32" s="42"/>
      <c r="AD32" s="109"/>
      <c r="AE32" s="226"/>
      <c r="AF32" s="231"/>
      <c r="AG32" s="232">
        <f>AG10+540.4+785.2+624</f>
        <v>7095.2739999999994</v>
      </c>
      <c r="AH32" s="233"/>
      <c r="AI32" s="230"/>
    </row>
    <row r="33" spans="2:36" ht="14.25" customHeight="1">
      <c r="B33" s="172" t="s">
        <v>26</v>
      </c>
      <c r="C33" s="173"/>
      <c r="D33" s="173"/>
      <c r="E33" s="173"/>
      <c r="F33" s="72">
        <v>96</v>
      </c>
      <c r="G33" s="123"/>
      <c r="H33" s="84"/>
      <c r="I33" s="83"/>
      <c r="J33" s="118"/>
      <c r="N33" s="172" t="s">
        <v>26</v>
      </c>
      <c r="O33" s="173"/>
      <c r="P33" s="173"/>
      <c r="Q33" s="173"/>
      <c r="R33" s="93">
        <v>258</v>
      </c>
      <c r="S33" s="121"/>
      <c r="T33" s="65"/>
      <c r="U33" s="42"/>
      <c r="V33" s="143"/>
      <c r="W33" s="143"/>
      <c r="X33" s="172" t="s">
        <v>26</v>
      </c>
      <c r="Y33" s="173"/>
      <c r="Z33" s="173"/>
      <c r="AA33" s="173"/>
      <c r="AB33" s="90">
        <v>17.8</v>
      </c>
      <c r="AC33" s="42"/>
      <c r="AD33" s="109"/>
      <c r="AE33" s="226"/>
      <c r="AF33" s="234">
        <f>AB9+AB21+AB25</f>
        <v>974.31964621155555</v>
      </c>
      <c r="AG33" s="232">
        <f>F31+R31+AB31</f>
        <v>7385.8739999999998</v>
      </c>
      <c r="AH33" s="233">
        <f>AB33*AC39</f>
        <v>619.38891794877463</v>
      </c>
      <c r="AI33" s="230"/>
    </row>
    <row r="34" spans="2:36" ht="15.75">
      <c r="B34" s="172" t="s">
        <v>27</v>
      </c>
      <c r="C34" s="173"/>
      <c r="D34" s="173"/>
      <c r="E34" s="173"/>
      <c r="F34" s="72">
        <v>12.5</v>
      </c>
      <c r="G34" s="123"/>
      <c r="H34" s="84"/>
      <c r="I34" s="83"/>
      <c r="J34" s="118"/>
      <c r="N34" s="172" t="s">
        <v>27</v>
      </c>
      <c r="O34" s="173"/>
      <c r="P34" s="173"/>
      <c r="Q34" s="173"/>
      <c r="R34" s="93">
        <v>23</v>
      </c>
      <c r="S34" s="42"/>
      <c r="T34" s="65"/>
      <c r="U34" s="42"/>
      <c r="V34" s="134"/>
      <c r="X34" s="172" t="s">
        <v>27</v>
      </c>
      <c r="Y34" s="173"/>
      <c r="Z34" s="173"/>
      <c r="AA34" s="173"/>
      <c r="AB34" s="90">
        <v>6.6</v>
      </c>
      <c r="AC34" s="42"/>
      <c r="AD34" s="109"/>
      <c r="AE34" s="226"/>
      <c r="AF34" s="234">
        <f>R25+R21+R9</f>
        <v>3778.4024017300744</v>
      </c>
      <c r="AG34" s="232">
        <f>AG33-AG32</f>
        <v>290.60000000000036</v>
      </c>
      <c r="AH34" s="233">
        <f>AB34*AC40</f>
        <v>251.53354131788115</v>
      </c>
      <c r="AI34" s="230"/>
    </row>
    <row r="35" spans="2:36" ht="18.75">
      <c r="B35" s="172" t="s">
        <v>28</v>
      </c>
      <c r="C35" s="173"/>
      <c r="D35" s="173"/>
      <c r="E35" s="173"/>
      <c r="F35" s="72">
        <v>6.5</v>
      </c>
      <c r="G35" s="123"/>
      <c r="H35" s="84"/>
      <c r="I35" s="83"/>
      <c r="J35" s="118"/>
      <c r="N35" s="172" t="s">
        <v>28</v>
      </c>
      <c r="O35" s="173"/>
      <c r="P35" s="173"/>
      <c r="Q35" s="173"/>
      <c r="R35" s="93">
        <v>19</v>
      </c>
      <c r="S35" s="42"/>
      <c r="T35" s="65"/>
      <c r="U35" s="42"/>
      <c r="V35" s="134"/>
      <c r="X35" s="172" t="s">
        <v>28</v>
      </c>
      <c r="Y35" s="173"/>
      <c r="Z35" s="173"/>
      <c r="AA35" s="173"/>
      <c r="AB35" s="90">
        <v>5</v>
      </c>
      <c r="AC35" s="42"/>
      <c r="AD35" s="109"/>
      <c r="AE35" s="226"/>
      <c r="AF35" s="234">
        <f>F25+F21+F9</f>
        <v>2633.1519520583697</v>
      </c>
      <c r="AG35" s="233"/>
      <c r="AH35" s="233">
        <f>AB35*AC41</f>
        <v>247.90062010400604</v>
      </c>
      <c r="AI35" s="230"/>
    </row>
    <row r="36" spans="2:36" ht="15.75">
      <c r="B36" s="172" t="s">
        <v>56</v>
      </c>
      <c r="C36" s="173"/>
      <c r="D36" s="173"/>
      <c r="E36" s="173"/>
      <c r="F36" s="73"/>
      <c r="G36" s="123">
        <v>1.1499999999999999</v>
      </c>
      <c r="H36" s="84"/>
      <c r="I36" s="83"/>
      <c r="J36" s="118"/>
      <c r="K36" s="35"/>
      <c r="L36" s="35"/>
      <c r="M36" s="35"/>
      <c r="N36" s="172" t="s">
        <v>55</v>
      </c>
      <c r="O36" s="173"/>
      <c r="P36" s="173"/>
      <c r="Q36" s="173"/>
      <c r="R36" s="90"/>
      <c r="S36" s="42">
        <f>S31*0.05</f>
        <v>0.62950000000000006</v>
      </c>
      <c r="T36" s="65"/>
      <c r="U36" s="60"/>
      <c r="V36" s="134"/>
      <c r="X36" s="172" t="s">
        <v>56</v>
      </c>
      <c r="Y36" s="173"/>
      <c r="Z36" s="173"/>
      <c r="AA36" s="173"/>
      <c r="AB36" s="90"/>
      <c r="AC36" s="42">
        <f>AC31*0.05</f>
        <v>1.6570062010400606</v>
      </c>
      <c r="AD36" s="48"/>
      <c r="AE36" s="161"/>
      <c r="AF36" s="231"/>
      <c r="AG36" s="233"/>
      <c r="AH36" s="235">
        <f>AH35+AH34+AH33</f>
        <v>1118.8230793706618</v>
      </c>
      <c r="AI36" s="230"/>
    </row>
    <row r="37" spans="2:36" ht="15.75">
      <c r="B37" s="172" t="s">
        <v>30</v>
      </c>
      <c r="C37" s="173"/>
      <c r="D37" s="173"/>
      <c r="E37" s="173"/>
      <c r="F37" s="74"/>
      <c r="G37" s="123">
        <v>3.44</v>
      </c>
      <c r="H37" s="84"/>
      <c r="I37" s="83">
        <f>I31*0.15</f>
        <v>3.4350912418152646</v>
      </c>
      <c r="J37" s="118"/>
      <c r="N37" s="172" t="s">
        <v>30</v>
      </c>
      <c r="O37" s="173"/>
      <c r="P37" s="173"/>
      <c r="Q37" s="173"/>
      <c r="R37" s="100"/>
      <c r="S37" s="42">
        <f>S31*0.15</f>
        <v>1.8884999999999998</v>
      </c>
      <c r="T37" s="65"/>
      <c r="U37" s="42"/>
      <c r="V37" s="134"/>
      <c r="X37" s="172" t="s">
        <v>30</v>
      </c>
      <c r="Y37" s="173"/>
      <c r="Z37" s="173"/>
      <c r="AA37" s="173"/>
      <c r="AB37" s="100"/>
      <c r="AC37" s="42">
        <f>AC31*0.15</f>
        <v>4.9710186031201813</v>
      </c>
      <c r="AD37" s="48"/>
      <c r="AE37" s="161"/>
      <c r="AF37" s="231"/>
      <c r="AG37" s="233"/>
      <c r="AH37" s="233"/>
      <c r="AI37" s="230"/>
    </row>
    <row r="38" spans="2:36" ht="15.75">
      <c r="B38" s="172" t="s">
        <v>31</v>
      </c>
      <c r="C38" s="173"/>
      <c r="D38" s="173"/>
      <c r="E38" s="173"/>
      <c r="F38" s="74"/>
      <c r="G38" s="123">
        <f>G31*0.5</f>
        <v>11.448486748079869</v>
      </c>
      <c r="H38" s="84"/>
      <c r="I38" s="83">
        <f>I31*0.5</f>
        <v>11.450304139384215</v>
      </c>
      <c r="J38" s="118"/>
      <c r="N38" s="172" t="s">
        <v>31</v>
      </c>
      <c r="O38" s="173"/>
      <c r="P38" s="173"/>
      <c r="Q38" s="173"/>
      <c r="R38" s="100"/>
      <c r="S38" s="42">
        <f>S31*0.5</f>
        <v>6.2949999999999999</v>
      </c>
      <c r="T38" s="65"/>
      <c r="U38" s="42"/>
      <c r="V38" s="134"/>
      <c r="X38" s="172" t="s">
        <v>59</v>
      </c>
      <c r="Y38" s="173"/>
      <c r="Z38" s="173"/>
      <c r="AA38" s="173"/>
      <c r="AB38" s="132"/>
      <c r="AC38" s="42">
        <v>16.440000000000001</v>
      </c>
      <c r="AD38" s="48"/>
      <c r="AE38" s="161"/>
      <c r="AF38" s="231">
        <v>16.57</v>
      </c>
      <c r="AG38" s="230"/>
      <c r="AH38" s="230"/>
      <c r="AI38" s="230"/>
    </row>
    <row r="39" spans="2:36" ht="15.75">
      <c r="B39" s="172" t="s">
        <v>33</v>
      </c>
      <c r="C39" s="173"/>
      <c r="D39" s="173"/>
      <c r="E39" s="173"/>
      <c r="F39" s="73"/>
      <c r="G39" s="123">
        <f>G31+G36</f>
        <v>24.046973496159737</v>
      </c>
      <c r="H39" s="84"/>
      <c r="I39" s="83">
        <f>I31</f>
        <v>22.900608278768431</v>
      </c>
      <c r="J39" s="118"/>
      <c r="N39" s="172" t="s">
        <v>33</v>
      </c>
      <c r="O39" s="173"/>
      <c r="P39" s="173"/>
      <c r="Q39" s="173"/>
      <c r="R39" s="90"/>
      <c r="S39" s="42">
        <f>S31+S36</f>
        <v>13.2195</v>
      </c>
      <c r="T39" s="65"/>
      <c r="U39" s="42"/>
      <c r="V39" s="134"/>
      <c r="X39" s="172" t="s">
        <v>33</v>
      </c>
      <c r="Y39" s="173"/>
      <c r="Z39" s="173"/>
      <c r="AA39" s="173"/>
      <c r="AB39" s="127"/>
      <c r="AC39" s="42">
        <f>AC31+AC36</f>
        <v>34.797130221841272</v>
      </c>
      <c r="AD39" s="48"/>
      <c r="AE39" s="161"/>
      <c r="AF39" s="227"/>
      <c r="AG39" s="225"/>
      <c r="AH39" s="225"/>
      <c r="AI39" s="225"/>
    </row>
    <row r="40" spans="2:36" ht="15.75">
      <c r="B40" s="172" t="s">
        <v>34</v>
      </c>
      <c r="C40" s="173"/>
      <c r="D40" s="173"/>
      <c r="E40" s="173"/>
      <c r="F40" s="73"/>
      <c r="G40" s="123">
        <f>G31+G37</f>
        <v>26.336973496159739</v>
      </c>
      <c r="H40" s="84"/>
      <c r="I40" s="83">
        <v>27.74</v>
      </c>
      <c r="J40" s="118"/>
      <c r="N40" s="172" t="s">
        <v>34</v>
      </c>
      <c r="O40" s="173"/>
      <c r="P40" s="173"/>
      <c r="Q40" s="173"/>
      <c r="R40" s="90"/>
      <c r="S40" s="42">
        <f>S31+S37</f>
        <v>14.4785</v>
      </c>
      <c r="T40" s="65"/>
      <c r="U40" s="42"/>
      <c r="V40" s="134"/>
      <c r="X40" s="172" t="s">
        <v>34</v>
      </c>
      <c r="Y40" s="173"/>
      <c r="Z40" s="173"/>
      <c r="AA40" s="173"/>
      <c r="AB40" s="127"/>
      <c r="AC40" s="42">
        <f>AC31+AC37</f>
        <v>38.111142623921388</v>
      </c>
      <c r="AD40" s="48"/>
      <c r="AE40" s="42"/>
      <c r="AF40" s="146"/>
    </row>
    <row r="41" spans="2:36" ht="15.75">
      <c r="B41" s="172" t="s">
        <v>35</v>
      </c>
      <c r="C41" s="173"/>
      <c r="D41" s="173"/>
      <c r="E41" s="173"/>
      <c r="F41" s="73"/>
      <c r="G41" s="123">
        <f>G31+G38</f>
        <v>34.345460244239604</v>
      </c>
      <c r="H41" s="84"/>
      <c r="I41" s="83">
        <f>I31+I38</f>
        <v>34.350912418152646</v>
      </c>
      <c r="J41" s="118"/>
      <c r="N41" s="172" t="s">
        <v>35</v>
      </c>
      <c r="O41" s="173"/>
      <c r="P41" s="173"/>
      <c r="Q41" s="173"/>
      <c r="R41" s="90"/>
      <c r="S41" s="42">
        <f>S31+S38</f>
        <v>18.884999999999998</v>
      </c>
      <c r="T41" s="65"/>
      <c r="U41" s="42"/>
      <c r="V41" s="134"/>
      <c r="X41" s="172" t="s">
        <v>35</v>
      </c>
      <c r="Y41" s="173"/>
      <c r="Z41" s="173"/>
      <c r="AA41" s="173"/>
      <c r="AB41" s="127"/>
      <c r="AC41" s="42">
        <f>AC31+AC38</f>
        <v>49.580124020801208</v>
      </c>
      <c r="AD41" s="48"/>
      <c r="AE41" s="42"/>
      <c r="AF41" s="146"/>
    </row>
    <row r="42" spans="2:36" ht="15.75">
      <c r="B42" s="172" t="s">
        <v>36</v>
      </c>
      <c r="C42" s="173"/>
      <c r="D42" s="173"/>
      <c r="E42" s="173"/>
      <c r="F42" s="73"/>
      <c r="G42" s="122">
        <f>G39*1.2</f>
        <v>28.856368195391681</v>
      </c>
      <c r="H42" s="85"/>
      <c r="I42" s="81">
        <f>24.12*1.2</f>
        <v>28.943999999999999</v>
      </c>
      <c r="J42" s="117"/>
      <c r="K42" s="14"/>
      <c r="L42" s="14"/>
      <c r="M42" s="14"/>
      <c r="N42" s="215" t="s">
        <v>36</v>
      </c>
      <c r="O42" s="216"/>
      <c r="P42" s="216"/>
      <c r="Q42" s="216"/>
      <c r="R42" s="92"/>
      <c r="S42" s="41">
        <f>S39*1.2</f>
        <v>15.863399999999999</v>
      </c>
      <c r="T42" s="48">
        <f>T31*1.05*1.2</f>
        <v>15.869290087266311</v>
      </c>
      <c r="U42" s="41">
        <f>T42/14.7</f>
        <v>1.0795435433514498</v>
      </c>
      <c r="V42" s="145"/>
      <c r="W42" s="144">
        <f>S42*R33</f>
        <v>4092.7571999999996</v>
      </c>
      <c r="X42" s="215" t="s">
        <v>36</v>
      </c>
      <c r="Y42" s="216"/>
      <c r="Z42" s="216"/>
      <c r="AA42" s="216"/>
      <c r="AB42" s="92"/>
      <c r="AC42" s="41">
        <f>AC39*1.2</f>
        <v>41.756556266209522</v>
      </c>
      <c r="AD42" s="47"/>
      <c r="AE42" s="41"/>
      <c r="AF42" s="149"/>
      <c r="AG42" s="152"/>
      <c r="AI42" s="134">
        <f>AE42/AC42</f>
        <v>0</v>
      </c>
      <c r="AJ42" s="134">
        <f>AC42*AB33</f>
        <v>743.26670153852956</v>
      </c>
    </row>
    <row r="43" spans="2:36" ht="15.75">
      <c r="B43" s="172" t="s">
        <v>37</v>
      </c>
      <c r="C43" s="173"/>
      <c r="D43" s="173"/>
      <c r="E43" s="173"/>
      <c r="F43" s="73"/>
      <c r="G43" s="122">
        <v>31.61</v>
      </c>
      <c r="H43" s="85"/>
      <c r="I43" s="81">
        <f>27.74*1.2</f>
        <v>33.287999999999997</v>
      </c>
      <c r="J43" s="117"/>
      <c r="N43" s="172" t="s">
        <v>37</v>
      </c>
      <c r="O43" s="173"/>
      <c r="P43" s="173"/>
      <c r="Q43" s="173"/>
      <c r="R43" s="90"/>
      <c r="S43" s="41">
        <v>17.38</v>
      </c>
      <c r="T43" s="65">
        <f>S31*1.15*1.2</f>
        <v>17.374199999999998</v>
      </c>
      <c r="U43" s="41"/>
      <c r="V43" s="134"/>
      <c r="W43" s="144">
        <f>S43*R34</f>
        <v>399.73999999999995</v>
      </c>
      <c r="X43" s="172" t="s">
        <v>37</v>
      </c>
      <c r="Y43" s="173"/>
      <c r="Z43" s="173"/>
      <c r="AA43" s="173"/>
      <c r="AB43" s="90"/>
      <c r="AC43" s="41">
        <f>AC40*1.2</f>
        <v>45.733371148705665</v>
      </c>
      <c r="AD43" s="47"/>
      <c r="AE43" s="41"/>
      <c r="AF43" s="146"/>
      <c r="AJ43" s="134">
        <f>AC43*AB34</f>
        <v>301.84024958145739</v>
      </c>
    </row>
    <row r="44" spans="2:36" ht="16.5" thickBot="1">
      <c r="B44" s="169" t="s">
        <v>38</v>
      </c>
      <c r="C44" s="170"/>
      <c r="D44" s="170"/>
      <c r="E44" s="170"/>
      <c r="F44" s="75"/>
      <c r="G44" s="124">
        <v>41.22</v>
      </c>
      <c r="H44" s="86"/>
      <c r="I44" s="87">
        <f>36.18*1.2</f>
        <v>43.415999999999997</v>
      </c>
      <c r="J44" s="117"/>
      <c r="N44" s="169" t="s">
        <v>38</v>
      </c>
      <c r="O44" s="170"/>
      <c r="P44" s="170"/>
      <c r="Q44" s="170"/>
      <c r="R44" s="91"/>
      <c r="S44" s="88">
        <v>22.67</v>
      </c>
      <c r="T44" s="70">
        <f>S31*1.5*1.2</f>
        <v>22.661999999999995</v>
      </c>
      <c r="U44" s="50"/>
      <c r="V44" s="134"/>
      <c r="W44" s="144">
        <f>R35*S44</f>
        <v>430.73</v>
      </c>
      <c r="X44" s="169" t="s">
        <v>38</v>
      </c>
      <c r="Y44" s="170"/>
      <c r="Z44" s="170"/>
      <c r="AA44" s="170"/>
      <c r="AB44" s="91"/>
      <c r="AC44" s="133">
        <f>AC41*1.2</f>
        <v>59.496148824961445</v>
      </c>
      <c r="AD44" s="49"/>
      <c r="AE44" s="45"/>
      <c r="AF44" s="146"/>
      <c r="AI44" s="134">
        <f>12*1.2</f>
        <v>14.399999999999999</v>
      </c>
      <c r="AJ44" s="134">
        <f>AC44*AB35</f>
        <v>297.48074412480725</v>
      </c>
    </row>
    <row r="45" spans="2:36" ht="12.75" customHeight="1">
      <c r="B45" s="7"/>
      <c r="C45" s="7"/>
      <c r="D45" s="7"/>
      <c r="E45" s="7"/>
      <c r="F45" s="8"/>
      <c r="G45" s="9"/>
      <c r="H45" s="9"/>
      <c r="I45" s="9"/>
      <c r="J45" s="9"/>
      <c r="N45" s="7"/>
      <c r="O45" s="7"/>
      <c r="P45" s="7"/>
      <c r="Q45" s="7"/>
      <c r="R45" s="8"/>
      <c r="S45" s="9"/>
      <c r="T45" s="69"/>
      <c r="U45" s="58"/>
      <c r="W45" s="144">
        <f>SUM(W42:W44)</f>
        <v>4923.2271999999994</v>
      </c>
      <c r="X45" s="7"/>
      <c r="Y45" s="7"/>
      <c r="Z45" s="7"/>
      <c r="AA45" s="7"/>
      <c r="AB45" s="8"/>
      <c r="AC45" s="9"/>
      <c r="AD45" s="9"/>
      <c r="AE45" s="9"/>
      <c r="AF45" s="146"/>
      <c r="AJ45" s="134">
        <f>SUM(AJ42:AJ44)</f>
        <v>1342.5876952447941</v>
      </c>
    </row>
    <row r="46" spans="2:36" s="134" customFormat="1" ht="15.75">
      <c r="B46" s="146"/>
      <c r="C46" s="146"/>
      <c r="D46" s="146"/>
      <c r="E46" s="146"/>
      <c r="F46" s="147"/>
      <c r="G46" s="148">
        <f>G42/26.66</f>
        <v>1.082384403428045</v>
      </c>
      <c r="H46" s="149"/>
      <c r="I46" s="149"/>
      <c r="J46" s="149"/>
      <c r="K46" s="143"/>
      <c r="L46" s="143"/>
      <c r="M46" s="143"/>
      <c r="N46" s="149"/>
      <c r="O46" s="149"/>
      <c r="P46" s="149"/>
      <c r="Q46" s="149"/>
      <c r="R46" s="149"/>
      <c r="S46" s="149">
        <f>S42/14.7</f>
        <v>1.0791428571428572</v>
      </c>
      <c r="T46" s="150"/>
      <c r="U46" s="150"/>
      <c r="V46" s="143"/>
      <c r="W46" s="143"/>
      <c r="X46" s="149"/>
      <c r="Y46" s="149"/>
      <c r="Z46" s="149"/>
      <c r="AA46" s="149"/>
      <c r="AB46" s="149"/>
      <c r="AC46" s="149">
        <f>AC42/38.88</f>
        <v>1.0739855006741132</v>
      </c>
      <c r="AD46" s="146"/>
      <c r="AE46" s="146"/>
      <c r="AF46" s="151"/>
      <c r="AH46" s="152"/>
    </row>
    <row r="47" spans="2:36" ht="18.75">
      <c r="B47" s="64" t="s">
        <v>49</v>
      </c>
      <c r="C47" s="64"/>
      <c r="D47" s="64"/>
      <c r="E47" s="64"/>
      <c r="F47" s="64"/>
      <c r="G47" s="131"/>
      <c r="H47" s="64"/>
      <c r="I47" s="64"/>
      <c r="J47" s="89"/>
      <c r="N47" s="224" t="s">
        <v>48</v>
      </c>
      <c r="O47" s="224"/>
      <c r="P47" s="224"/>
      <c r="Q47" s="224"/>
      <c r="R47" s="224"/>
      <c r="S47" s="224"/>
      <c r="T47" s="224"/>
      <c r="U47" s="56"/>
      <c r="X47" s="46" t="s">
        <v>43</v>
      </c>
      <c r="Y47" s="66"/>
      <c r="Z47" s="46"/>
      <c r="AA47" s="46"/>
      <c r="AB47" s="67"/>
      <c r="AC47" s="67"/>
      <c r="AD47" s="67"/>
      <c r="AE47" s="46"/>
      <c r="AF47" s="159"/>
    </row>
    <row r="48" spans="2:36" ht="15.75">
      <c r="B48" s="4"/>
      <c r="C48" s="4"/>
      <c r="D48" s="4"/>
      <c r="E48" s="4"/>
      <c r="F48" s="5"/>
      <c r="G48" s="15"/>
      <c r="H48" s="15"/>
      <c r="I48" s="15"/>
      <c r="J48" s="15"/>
      <c r="R48" s="10"/>
      <c r="AB48" s="10"/>
    </row>
    <row r="49" spans="2:31" ht="15.75">
      <c r="B49" s="4"/>
      <c r="C49" s="4"/>
      <c r="D49" s="4"/>
      <c r="E49" s="4"/>
      <c r="F49" s="76"/>
      <c r="G49" s="15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AB49" s="10"/>
      <c r="AE49" s="10">
        <f>W10+W17+W21+W25</f>
        <v>7385.8740000000007</v>
      </c>
    </row>
    <row r="50" spans="2:31">
      <c r="F50" s="77"/>
      <c r="H50" s="77"/>
      <c r="I50" s="10">
        <f>F31+R31+AB31</f>
        <v>7385.8739999999998</v>
      </c>
      <c r="J50" s="10"/>
      <c r="K50" s="77"/>
      <c r="L50" s="77"/>
      <c r="N50" s="77"/>
      <c r="O50" s="77"/>
      <c r="P50" s="77"/>
      <c r="Q50" s="77"/>
      <c r="R50" s="77"/>
      <c r="S50" s="77"/>
    </row>
    <row r="51" spans="2:31">
      <c r="F51" s="77"/>
      <c r="H51" s="77"/>
      <c r="I51" s="77"/>
      <c r="J51" s="77"/>
      <c r="K51" s="77"/>
      <c r="L51" s="77"/>
      <c r="N51" s="77"/>
      <c r="O51" s="77"/>
      <c r="P51" s="77"/>
      <c r="Q51" s="77"/>
      <c r="R51" s="77"/>
      <c r="S51" s="77"/>
    </row>
    <row r="52" spans="2:31">
      <c r="F52" s="77"/>
      <c r="H52" s="77"/>
      <c r="I52" s="77"/>
      <c r="J52" s="77"/>
      <c r="K52" s="77"/>
      <c r="L52" s="77"/>
      <c r="N52" s="77"/>
      <c r="O52" s="77"/>
      <c r="P52" s="77"/>
      <c r="Q52" s="77"/>
      <c r="R52" s="77"/>
      <c r="S52" s="77"/>
    </row>
  </sheetData>
  <mergeCells count="127">
    <mergeCell ref="AD6:AE7"/>
    <mergeCell ref="H6:I7"/>
    <mergeCell ref="N47:T47"/>
    <mergeCell ref="X43:AA43"/>
    <mergeCell ref="B44:E44"/>
    <mergeCell ref="N44:Q44"/>
    <mergeCell ref="X44:AA44"/>
    <mergeCell ref="B43:E43"/>
    <mergeCell ref="N43:Q43"/>
    <mergeCell ref="X41:AA41"/>
    <mergeCell ref="B42:E42"/>
    <mergeCell ref="N42:Q42"/>
    <mergeCell ref="X42:AA42"/>
    <mergeCell ref="B41:E41"/>
    <mergeCell ref="N41:Q41"/>
    <mergeCell ref="X39:AA39"/>
    <mergeCell ref="B40:E40"/>
    <mergeCell ref="N40:Q40"/>
    <mergeCell ref="X40:AA40"/>
    <mergeCell ref="B39:E39"/>
    <mergeCell ref="N39:Q39"/>
    <mergeCell ref="X37:AA37"/>
    <mergeCell ref="B38:E38"/>
    <mergeCell ref="N38:Q38"/>
    <mergeCell ref="X38:AA38"/>
    <mergeCell ref="B37:E37"/>
    <mergeCell ref="N37:Q37"/>
    <mergeCell ref="X35:AA35"/>
    <mergeCell ref="B36:E36"/>
    <mergeCell ref="N36:Q36"/>
    <mergeCell ref="X36:AA36"/>
    <mergeCell ref="B35:E35"/>
    <mergeCell ref="N35:Q35"/>
    <mergeCell ref="X33:AA33"/>
    <mergeCell ref="B34:E34"/>
    <mergeCell ref="N34:Q34"/>
    <mergeCell ref="X34:AA34"/>
    <mergeCell ref="B33:E33"/>
    <mergeCell ref="N33:Q33"/>
    <mergeCell ref="X31:AA31"/>
    <mergeCell ref="B32:E32"/>
    <mergeCell ref="N32:Q32"/>
    <mergeCell ref="X32:AA32"/>
    <mergeCell ref="B31:E31"/>
    <mergeCell ref="N31:Q31"/>
    <mergeCell ref="X29:AA29"/>
    <mergeCell ref="B30:E30"/>
    <mergeCell ref="N30:Q30"/>
    <mergeCell ref="X30:AA30"/>
    <mergeCell ref="B29:E29"/>
    <mergeCell ref="N29:Q29"/>
    <mergeCell ref="X27:AA27"/>
    <mergeCell ref="B28:E28"/>
    <mergeCell ref="N28:Q28"/>
    <mergeCell ref="X28:AA28"/>
    <mergeCell ref="B27:E27"/>
    <mergeCell ref="N27:Q27"/>
    <mergeCell ref="X25:AA25"/>
    <mergeCell ref="B26:E26"/>
    <mergeCell ref="N26:Q26"/>
    <mergeCell ref="X26:AA26"/>
    <mergeCell ref="B25:E25"/>
    <mergeCell ref="N25:Q25"/>
    <mergeCell ref="X23:AA23"/>
    <mergeCell ref="B24:E24"/>
    <mergeCell ref="N24:Q24"/>
    <mergeCell ref="X24:AA24"/>
    <mergeCell ref="B23:E23"/>
    <mergeCell ref="N23:Q23"/>
    <mergeCell ref="X21:AA21"/>
    <mergeCell ref="B22:E22"/>
    <mergeCell ref="N22:Q22"/>
    <mergeCell ref="X22:AA22"/>
    <mergeCell ref="B21:E21"/>
    <mergeCell ref="N21:Q21"/>
    <mergeCell ref="X19:AA19"/>
    <mergeCell ref="B20:E20"/>
    <mergeCell ref="N20:Q20"/>
    <mergeCell ref="X20:AA20"/>
    <mergeCell ref="B19:E19"/>
    <mergeCell ref="N19:Q19"/>
    <mergeCell ref="X17:AA17"/>
    <mergeCell ref="B18:E18"/>
    <mergeCell ref="N18:Q18"/>
    <mergeCell ref="X18:AA18"/>
    <mergeCell ref="B17:E17"/>
    <mergeCell ref="N17:Q17"/>
    <mergeCell ref="X15:AA15"/>
    <mergeCell ref="B16:E16"/>
    <mergeCell ref="N16:Q16"/>
    <mergeCell ref="X16:AA16"/>
    <mergeCell ref="B15:E15"/>
    <mergeCell ref="N15:Q15"/>
    <mergeCell ref="X13:AA13"/>
    <mergeCell ref="B14:E14"/>
    <mergeCell ref="N14:Q14"/>
    <mergeCell ref="X14:AA14"/>
    <mergeCell ref="B13:E13"/>
    <mergeCell ref="N13:Q13"/>
    <mergeCell ref="B6:E8"/>
    <mergeCell ref="F6:G7"/>
    <mergeCell ref="N6:Q8"/>
    <mergeCell ref="R6:S7"/>
    <mergeCell ref="X6:AA8"/>
    <mergeCell ref="AB6:AC7"/>
    <mergeCell ref="X11:AA11"/>
    <mergeCell ref="B12:E12"/>
    <mergeCell ref="N12:Q12"/>
    <mergeCell ref="X12:AA12"/>
    <mergeCell ref="B11:E11"/>
    <mergeCell ref="N11:Q11"/>
    <mergeCell ref="X9:AA9"/>
    <mergeCell ref="B10:E10"/>
    <mergeCell ref="N10:Q10"/>
    <mergeCell ref="X10:AA10"/>
    <mergeCell ref="B9:E9"/>
    <mergeCell ref="N9:Q9"/>
    <mergeCell ref="T6:U7"/>
    <mergeCell ref="B4:I4"/>
    <mergeCell ref="A3:I3"/>
    <mergeCell ref="B2:I2"/>
    <mergeCell ref="W2:AC2"/>
    <mergeCell ref="W3:AC3"/>
    <mergeCell ref="W4:AC4"/>
    <mergeCell ref="N2:S2"/>
    <mergeCell ref="N3:S3"/>
    <mergeCell ref="N4:S4"/>
  </mergeCells>
  <pageMargins left="0.2" right="0.2" top="0.2" bottom="0.21" header="0.3" footer="0.2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Лист3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2019-01-11T12:43:25Z</dcterms:modified>
</cp:coreProperties>
</file>